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codeName="Questa_cartella_di_lavoro" defaultThemeVersion="124226"/>
  <xr:revisionPtr revIDLastSave="0" documentId="13_ncr:1_{063D01D0-DB9C-440D-9EE1-C55C9CC3DD8A}" xr6:coauthVersionLast="45" xr6:coauthVersionMax="45" xr10:uidLastSave="{00000000-0000-0000-0000-000000000000}"/>
  <workbookProtection workbookPassword="AF2E" lockStructure="1"/>
  <bookViews>
    <workbookView xWindow="-120" yWindow="-120" windowWidth="25440" windowHeight="15390"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s>
  <definedNames>
    <definedName name="_xlnm.Print_Area" localSheetId="2">esprortazione!$A$4</definedName>
    <definedName name="CCNLCoopCost">'CCNL-appoggio'!$B$2:$B$18</definedName>
    <definedName name="CCNLCoopDes">'CCNL-appoggio'!$A$2:$A$18</definedName>
    <definedName name="CCNLCostoOrarioAltroPesonale1">#REF!</definedName>
    <definedName name="CCNLCostoOrarioAltroPesonale2">#REF!</definedName>
    <definedName name="CCNLCostoOrarioAltroPesonale3">#REF!</definedName>
    <definedName name="CCNLCostoOrarioAmministrativo">#REF!</definedName>
    <definedName name="CCNLCostoOrarioAusiliari">#REF!</definedName>
    <definedName name="CCNLCostoOrarioCoordinatore">#REF!</definedName>
    <definedName name="CCNLCostoOrarioCuoco">#REF!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#REF!</definedName>
    <definedName name="InfanziaDifferenzaScheda">#REF!</definedName>
    <definedName name="InfanziaParametroCostoPasto">#REF!</definedName>
    <definedName name="infanziaParametroPercentualeCoordinamento">#REF!</definedName>
    <definedName name="InfanziaParametroPercentualeSpeseGenerali">#REF!</definedName>
    <definedName name="InfanziaPercentualeAltroPersonale1">#REF!</definedName>
    <definedName name="InfanziaPercentualeAltroPersonale2">#REF!</definedName>
    <definedName name="InfanziaPercentualeAltroPersonale3">#REF!</definedName>
    <definedName name="InfanziaPercentualeMassimaCoordinamento">#REF!</definedName>
    <definedName name="InfaziaPercentualeMassimaSpeseGenerali">#REF!</definedName>
    <definedName name="mensilitàAttualiDettaglio">INPUT!$D$31:$D$37</definedName>
    <definedName name="mensilitàPacDettaglio">INPUT!$Q$43:$Q$49</definedName>
    <definedName name="mensilitàPacDettaglio1415">INPUT!#REF!</definedName>
    <definedName name="mensilitàPacDettaglio1516">INPUT!$D$85:$F$91</definedName>
    <definedName name="mensilitàPacDettaglio1617">INPUT!$G$85:$H$91</definedName>
    <definedName name="numeroPasti">#REF!</definedName>
    <definedName name="oreMassimeServizioOrdinario">#REF!</definedName>
    <definedName name="oreMassimeServizioSabato">#REF!</definedName>
    <definedName name="oreMinimeServizioOrdinario">#REF!</definedName>
    <definedName name="oreMinimeServizioSabato">#REF!</definedName>
    <definedName name="oreServizioPacDettaglio">INPUT!$C$54:$C$60</definedName>
    <definedName name="ParametroGiorniServizioSettimanali">#REF!</definedName>
    <definedName name="ParametroMesiServizio">#REF!</definedName>
    <definedName name="ParametroOreServizioGiornaliero">#REF!</definedName>
    <definedName name="ParametroOreServizioGiornalieroSabato">#REF!</definedName>
    <definedName name="ParametroOreSettinanaliServizio">#REF!</definedName>
    <definedName name="ParametroUtentiComplessivi">#REF!</definedName>
    <definedName name="ParametroUtentiDivezzi">#REF!</definedName>
    <definedName name="ParametroUtentiLattanti">#REF!</definedName>
    <definedName name="ParametroUtentiSemidivezzi">#REF!</definedName>
    <definedName name="risorseNettePacDettaglio1415">INPUT!#REF!</definedName>
    <definedName name="risorseNettePacDettaglio1516">INPUT!$D$108:$F$114</definedName>
    <definedName name="risorseNettePacDettaglio1617">INPUT!$G$108:$H$114</definedName>
    <definedName name="scedaCostoCoordinatore">#REF!</definedName>
    <definedName name="schedaCompartecipazione">#REF!</definedName>
    <definedName name="schedaCostaOrarioAmminitrativi">#REF!</definedName>
    <definedName name="schedaCostiAusiliari">#REF!</definedName>
    <definedName name="schedaCostiDiretti">#REF!</definedName>
    <definedName name="schedaCostiGenerali">#REF!</definedName>
    <definedName name="SchedaCostoAltroPersonale1">#REF!</definedName>
    <definedName name="SchedaCostoAltroPersonale2">#REF!</definedName>
    <definedName name="SchedaCostoAltroPersonale3">#REF!</definedName>
    <definedName name="schedaCostoCuoco">#REF!</definedName>
    <definedName name="schedaCostoEducatori">#REF!</definedName>
    <definedName name="schedaCostoOrarioAusiliari">#REF!</definedName>
    <definedName name="schedaCostoOrarioCoordinatore">#REF!</definedName>
    <definedName name="schedaCostoOrarioEducatori">#REF!</definedName>
    <definedName name="SchedaCostoPasti">#REF!</definedName>
    <definedName name="SchedaCostoPersonaleAmministrativo">#REF!</definedName>
    <definedName name="SchedaGiorniServizioSettimanali">#REF!</definedName>
    <definedName name="SchedaMesiServizio">#REF!</definedName>
    <definedName name="SchedaOreAltroPersonale1">#REF!</definedName>
    <definedName name="SchedaOreAltroPersonale2">#REF!</definedName>
    <definedName name="SchedaOreAltroPersonale3">#REF!</definedName>
    <definedName name="schedaOreComplessiveServizio">#REF!</definedName>
    <definedName name="SchedaOreCoordinamento">#REF!</definedName>
    <definedName name="SchedaOrePersonaleAmministrativo">#REF!</definedName>
    <definedName name="schedaOrePersonaleEducativo">#REF!</definedName>
    <definedName name="schedaOreServizioGiornaliero">#REF!</definedName>
    <definedName name="schedaOreServizioGiornalieroSabato">#REF!</definedName>
    <definedName name="SchedaOreSettinanaliServizio">#REF!</definedName>
    <definedName name="SchedaParametroCostoPasto">#REF!</definedName>
    <definedName name="SchedaUtentiComplessivi">#REF!</definedName>
    <definedName name="SchedaUtentiDivezzi">#REF!</definedName>
    <definedName name="SchedaUtentiLattanti">#REF!</definedName>
    <definedName name="SchedaUtentiSemidivezzi">#REF!</definedName>
    <definedName name="SchedeOreAusiliari">#REF!</definedName>
    <definedName name="schedeOreEducatori">#REF!</definedName>
    <definedName name="struttureInterventiPacDettaglio">INPUT!$B$43:$B$49</definedName>
    <definedName name="strutturePACdettaglio">INPUT!$B$31:$B$37</definedName>
    <definedName name="tipologiaInterventoPacDettaglio">INPUT!$C$43:$C$49</definedName>
    <definedName name="utentiAttualiDettaglio">INPUT!$C$31:$C$37</definedName>
    <definedName name="utentiPacDettaglio">INPUT!$D$43:$D$49</definedName>
  </definedNames>
  <calcPr calcId="191029"/>
</workbook>
</file>

<file path=xl/calcChain.xml><?xml version="1.0" encoding="utf-8"?>
<calcChain xmlns="http://schemas.openxmlformats.org/spreadsheetml/2006/main">
  <c r="G60" i="9" l="1"/>
  <c r="H54" i="9"/>
  <c r="G54" i="9"/>
  <c r="AI20" i="9"/>
  <c r="AI19" i="9"/>
  <c r="AI18" i="9"/>
  <c r="AI21" i="9"/>
  <c r="AI17" i="9"/>
  <c r="I85" i="9"/>
  <c r="W139" i="9"/>
  <c r="W138" i="9"/>
  <c r="W137" i="9"/>
  <c r="B42" i="10"/>
  <c r="B14" i="10"/>
  <c r="B35" i="10"/>
  <c r="B43" i="10"/>
  <c r="B53" i="10"/>
  <c r="B64" i="10"/>
  <c r="B75" i="10"/>
  <c r="B86" i="10"/>
  <c r="B44" i="10"/>
  <c r="B45" i="10"/>
  <c r="B46" i="10"/>
  <c r="B47" i="10"/>
  <c r="B48" i="10"/>
  <c r="B15" i="10"/>
  <c r="B36" i="10"/>
  <c r="B16" i="10"/>
  <c r="B37" i="10"/>
  <c r="B17" i="10"/>
  <c r="B38" i="10"/>
  <c r="A3" i="10"/>
  <c r="C3" i="11"/>
  <c r="E6" i="10"/>
  <c r="Y6" i="10"/>
  <c r="A4" i="10"/>
  <c r="C86" i="9"/>
  <c r="C97" i="9"/>
  <c r="C109" i="9"/>
  <c r="C87" i="9"/>
  <c r="C98" i="9"/>
  <c r="C110" i="9"/>
  <c r="C88" i="9"/>
  <c r="C99" i="9"/>
  <c r="C111" i="9"/>
  <c r="C89" i="9"/>
  <c r="C100" i="9"/>
  <c r="C112" i="9"/>
  <c r="C90" i="9"/>
  <c r="C101" i="9"/>
  <c r="C113" i="9"/>
  <c r="C91" i="9"/>
  <c r="C102" i="9"/>
  <c r="C114" i="9"/>
  <c r="C85" i="9"/>
  <c r="C96" i="9"/>
  <c r="C108" i="9"/>
  <c r="L112" i="10"/>
  <c r="L113" i="10"/>
  <c r="L114" i="10"/>
  <c r="L115" i="10"/>
  <c r="E29" i="10"/>
  <c r="Y29" i="10"/>
  <c r="E27" i="10"/>
  <c r="Y27" i="10"/>
  <c r="E25" i="10"/>
  <c r="Y25" i="10"/>
  <c r="E23" i="10"/>
  <c r="Y23" i="10" s="1"/>
  <c r="E20" i="10"/>
  <c r="E7" i="10"/>
  <c r="Y7" i="10"/>
  <c r="E8" i="10"/>
  <c r="Y8" i="10"/>
  <c r="E9" i="10"/>
  <c r="Y9" i="10" s="1"/>
  <c r="E10" i="10"/>
  <c r="Y10" i="10" s="1"/>
  <c r="E11" i="10"/>
  <c r="Y11" i="10" s="1"/>
  <c r="B114" i="9"/>
  <c r="I32" i="10"/>
  <c r="H141" i="9"/>
  <c r="L107" i="10"/>
  <c r="C177" i="9"/>
  <c r="C176" i="9"/>
  <c r="B177" i="9"/>
  <c r="B176" i="9"/>
  <c r="D73" i="9"/>
  <c r="C169" i="9"/>
  <c r="B169" i="9"/>
  <c r="A169" i="9"/>
  <c r="B179" i="9"/>
  <c r="A179" i="9"/>
  <c r="B178" i="9"/>
  <c r="A178" i="9"/>
  <c r="C179" i="9"/>
  <c r="C178" i="9"/>
  <c r="B173" i="9"/>
  <c r="A173" i="9"/>
  <c r="B174" i="9"/>
  <c r="A174" i="9"/>
  <c r="B175" i="9"/>
  <c r="A175" i="9"/>
  <c r="C173" i="9"/>
  <c r="C174" i="9"/>
  <c r="C175" i="9"/>
  <c r="C172" i="9"/>
  <c r="B172" i="9"/>
  <c r="A172" i="9"/>
  <c r="B170" i="9"/>
  <c r="A170" i="9"/>
  <c r="B171" i="9"/>
  <c r="A171" i="9"/>
  <c r="C171" i="9"/>
  <c r="C170" i="9"/>
  <c r="C168" i="9"/>
  <c r="B168" i="9"/>
  <c r="A168" i="9"/>
  <c r="B165" i="9"/>
  <c r="B166" i="9"/>
  <c r="B167" i="9"/>
  <c r="C165" i="9"/>
  <c r="C166" i="9"/>
  <c r="C167" i="9"/>
  <c r="C164" i="9"/>
  <c r="B164" i="9"/>
  <c r="A164" i="9"/>
  <c r="C220" i="9"/>
  <c r="C215" i="9"/>
  <c r="C211" i="9"/>
  <c r="I91" i="9"/>
  <c r="I90" i="9"/>
  <c r="I89" i="9"/>
  <c r="I88" i="9"/>
  <c r="I87" i="9"/>
  <c r="I86" i="9"/>
  <c r="P44" i="9"/>
  <c r="P45" i="9"/>
  <c r="P46" i="9"/>
  <c r="P47" i="9"/>
  <c r="P48" i="9"/>
  <c r="P49" i="9"/>
  <c r="P43" i="9"/>
  <c r="D70" i="9"/>
  <c r="C134" i="9"/>
  <c r="D134" i="9"/>
  <c r="C133" i="9"/>
  <c r="D133" i="9"/>
  <c r="H142" i="9"/>
  <c r="L106" i="10" s="1"/>
  <c r="D65" i="9"/>
  <c r="B86" i="9"/>
  <c r="B97" i="9"/>
  <c r="B108" i="9"/>
  <c r="B87" i="9"/>
  <c r="B98" i="9"/>
  <c r="B109" i="9"/>
  <c r="B88" i="9"/>
  <c r="B99" i="9"/>
  <c r="B110" i="9"/>
  <c r="B89" i="9"/>
  <c r="B100" i="9"/>
  <c r="B111" i="9"/>
  <c r="B90" i="9"/>
  <c r="B101" i="9"/>
  <c r="B112" i="9"/>
  <c r="B91" i="9"/>
  <c r="B102" i="9"/>
  <c r="B113" i="9"/>
  <c r="B85" i="9"/>
  <c r="B96" i="9"/>
  <c r="K55" i="9"/>
  <c r="K56" i="9"/>
  <c r="K57" i="9"/>
  <c r="K58" i="9"/>
  <c r="K59" i="9"/>
  <c r="K60" i="9"/>
  <c r="K54" i="9"/>
  <c r="G55" i="9"/>
  <c r="G56" i="9"/>
  <c r="G57" i="9"/>
  <c r="I55" i="9"/>
  <c r="I56" i="9"/>
  <c r="I57" i="9"/>
  <c r="I59" i="9"/>
  <c r="I60" i="9"/>
  <c r="I54" i="9"/>
  <c r="C55" i="9"/>
  <c r="C56" i="9"/>
  <c r="C57" i="9"/>
  <c r="C58" i="9"/>
  <c r="C59" i="9"/>
  <c r="C60" i="9"/>
  <c r="H212" i="9"/>
  <c r="H213" i="9"/>
  <c r="H214" i="9"/>
  <c r="H216" i="9"/>
  <c r="H217" i="9"/>
  <c r="H218" i="9"/>
  <c r="H219" i="9"/>
  <c r="H222" i="9"/>
  <c r="H223" i="9"/>
  <c r="H225" i="9"/>
  <c r="H210" i="9"/>
  <c r="C54" i="9"/>
  <c r="B55" i="9"/>
  <c r="B56" i="9"/>
  <c r="B57" i="9"/>
  <c r="B58" i="9"/>
  <c r="B59" i="9"/>
  <c r="B60" i="9"/>
  <c r="B54" i="9"/>
  <c r="C225" i="9"/>
  <c r="C222" i="9"/>
  <c r="C221" i="9"/>
  <c r="C218" i="9"/>
  <c r="C217" i="9"/>
  <c r="C216" i="9"/>
  <c r="C213" i="9"/>
  <c r="C212" i="9"/>
  <c r="C224" i="9"/>
  <c r="C223" i="9"/>
  <c r="C219" i="9"/>
  <c r="C214" i="9"/>
  <c r="C210" i="9"/>
  <c r="D220" i="9"/>
  <c r="D223" i="9"/>
  <c r="D219" i="9"/>
  <c r="D214" i="9"/>
  <c r="D210" i="9"/>
  <c r="B223" i="9"/>
  <c r="B224" i="9"/>
  <c r="B225" i="9"/>
  <c r="A225" i="9"/>
  <c r="B219" i="9"/>
  <c r="B220" i="9"/>
  <c r="B214" i="9"/>
  <c r="B215" i="9"/>
  <c r="A215" i="9"/>
  <c r="B210" i="9"/>
  <c r="A210" i="9"/>
  <c r="B211" i="9"/>
  <c r="D26" i="9"/>
  <c r="C48" i="6"/>
  <c r="C47" i="6"/>
  <c r="E138" i="9"/>
  <c r="G138" i="9"/>
  <c r="B106" i="10"/>
  <c r="E21" i="10"/>
  <c r="E139" i="9"/>
  <c r="G139" i="9"/>
  <c r="L19" i="2"/>
  <c r="L21" i="2"/>
  <c r="K3" i="2"/>
  <c r="K4" i="2"/>
  <c r="K5" i="2"/>
  <c r="K6" i="2"/>
  <c r="K7" i="2"/>
  <c r="K8" i="2"/>
  <c r="K9" i="2"/>
  <c r="K10" i="2"/>
  <c r="K11" i="2"/>
  <c r="K12" i="2"/>
  <c r="K13" i="2"/>
  <c r="K14" i="2"/>
  <c r="K15" i="2"/>
  <c r="K16" i="2"/>
  <c r="K17" i="2"/>
  <c r="K18" i="2"/>
  <c r="K19" i="2"/>
  <c r="K20" i="2"/>
  <c r="K21" i="2"/>
  <c r="K22" i="2"/>
  <c r="K23" i="2"/>
  <c r="K24" i="2"/>
  <c r="K2" i="2"/>
  <c r="C136" i="9"/>
  <c r="D136" i="9"/>
  <c r="C135" i="9"/>
  <c r="D135" i="9"/>
  <c r="C132" i="9"/>
  <c r="D132" i="9"/>
  <c r="C131" i="9"/>
  <c r="D131" i="9"/>
  <c r="B2" i="6"/>
  <c r="B3" i="6"/>
  <c r="H28" i="7"/>
  <c r="C28" i="7"/>
  <c r="M28" i="7"/>
  <c r="H27" i="7"/>
  <c r="C27" i="7"/>
  <c r="H26" i="7"/>
  <c r="C26" i="7"/>
  <c r="H25" i="7"/>
  <c r="C25" i="7"/>
  <c r="M25" i="7"/>
  <c r="H24" i="7"/>
  <c r="C24" i="7"/>
  <c r="L20" i="2"/>
  <c r="H23" i="7"/>
  <c r="C23" i="7"/>
  <c r="D23" i="7"/>
  <c r="E23" i="7"/>
  <c r="F23" i="7"/>
  <c r="G23" i="7"/>
  <c r="I23" i="7"/>
  <c r="J23" i="7"/>
  <c r="G19" i="2"/>
  <c r="H22" i="7"/>
  <c r="C22" i="7"/>
  <c r="H21" i="7"/>
  <c r="C21" i="7"/>
  <c r="D21" i="7"/>
  <c r="E21" i="7"/>
  <c r="F21" i="7"/>
  <c r="G21" i="7"/>
  <c r="H20" i="7"/>
  <c r="C20" i="7"/>
  <c r="M20" i="7"/>
  <c r="D20" i="7"/>
  <c r="E20" i="7"/>
  <c r="F20" i="7"/>
  <c r="G20" i="7"/>
  <c r="I20" i="7"/>
  <c r="J20" i="7"/>
  <c r="G16" i="2"/>
  <c r="H19" i="7"/>
  <c r="C19" i="7"/>
  <c r="H18" i="7"/>
  <c r="C18" i="7"/>
  <c r="H17" i="7"/>
  <c r="C17" i="7"/>
  <c r="H16" i="7"/>
  <c r="C16" i="7"/>
  <c r="M16" i="7"/>
  <c r="L16" i="7"/>
  <c r="H15" i="7"/>
  <c r="C15" i="7"/>
  <c r="M15" i="7"/>
  <c r="H14" i="7"/>
  <c r="C14" i="7"/>
  <c r="H13" i="7"/>
  <c r="C13" i="7"/>
  <c r="L13" i="7"/>
  <c r="H12" i="7"/>
  <c r="C12" i="7"/>
  <c r="M12" i="7"/>
  <c r="H11" i="7"/>
  <c r="C11" i="7"/>
  <c r="H10" i="7"/>
  <c r="C10" i="7"/>
  <c r="H9" i="7"/>
  <c r="C9" i="7"/>
  <c r="H8" i="7"/>
  <c r="C8" i="7"/>
  <c r="L8" i="7"/>
  <c r="H7" i="7"/>
  <c r="C7" i="7"/>
  <c r="D7" i="7"/>
  <c r="E7" i="7"/>
  <c r="F7" i="7"/>
  <c r="G7" i="7"/>
  <c r="I7" i="7"/>
  <c r="J7" i="7"/>
  <c r="G3" i="2"/>
  <c r="C6" i="7"/>
  <c r="M6" i="7"/>
  <c r="H6" i="7"/>
  <c r="R30" i="6"/>
  <c r="Q30" i="6"/>
  <c r="P30" i="6"/>
  <c r="O30" i="6"/>
  <c r="N30" i="6"/>
  <c r="M30" i="6"/>
  <c r="L30" i="6"/>
  <c r="K30" i="6"/>
  <c r="J30" i="6"/>
  <c r="I30" i="6"/>
  <c r="H30" i="6"/>
  <c r="G30" i="6"/>
  <c r="F30" i="6"/>
  <c r="E30" i="6"/>
  <c r="D30" i="6"/>
  <c r="C30" i="6"/>
  <c r="B30" i="6"/>
  <c r="R16" i="6"/>
  <c r="R24" i="6"/>
  <c r="R25" i="6"/>
  <c r="Q16" i="6"/>
  <c r="Q24" i="6"/>
  <c r="Q25" i="6"/>
  <c r="P16" i="6"/>
  <c r="P24" i="6"/>
  <c r="P25" i="6"/>
  <c r="P17" i="6"/>
  <c r="O16" i="6"/>
  <c r="O17" i="6"/>
  <c r="N16" i="6"/>
  <c r="M16" i="6"/>
  <c r="M24" i="6"/>
  <c r="M25" i="6"/>
  <c r="L16" i="6"/>
  <c r="L24" i="6"/>
  <c r="L25" i="6"/>
  <c r="K16" i="6"/>
  <c r="J16" i="6"/>
  <c r="J24" i="6"/>
  <c r="J25" i="6"/>
  <c r="I16" i="6"/>
  <c r="I17" i="6"/>
  <c r="I24" i="6"/>
  <c r="I25" i="6"/>
  <c r="H16" i="6"/>
  <c r="G16" i="6"/>
  <c r="G17" i="6"/>
  <c r="F16" i="6"/>
  <c r="F24" i="6"/>
  <c r="F25" i="6"/>
  <c r="E16" i="6"/>
  <c r="D16" i="6"/>
  <c r="D17" i="6"/>
  <c r="D26" i="6"/>
  <c r="C16" i="6"/>
  <c r="C17" i="6"/>
  <c r="B16" i="6"/>
  <c r="K15" i="7"/>
  <c r="H11" i="2"/>
  <c r="K28" i="7"/>
  <c r="H24" i="2"/>
  <c r="L24" i="2"/>
  <c r="L15" i="7"/>
  <c r="L28" i="7"/>
  <c r="M27" i="7"/>
  <c r="M7" i="7"/>
  <c r="K12" i="7"/>
  <c r="H8" i="2"/>
  <c r="D22" i="7"/>
  <c r="E22" i="7"/>
  <c r="F22" i="7"/>
  <c r="G22" i="7"/>
  <c r="I22" i="7"/>
  <c r="J22" i="7"/>
  <c r="G18" i="2"/>
  <c r="K22" i="7"/>
  <c r="H18" i="2"/>
  <c r="K9" i="7"/>
  <c r="H5" i="2"/>
  <c r="D9" i="7"/>
  <c r="E9" i="7"/>
  <c r="F9" i="7"/>
  <c r="G9" i="7"/>
  <c r="I9" i="7"/>
  <c r="J9" i="7"/>
  <c r="G5" i="2"/>
  <c r="K18" i="7"/>
  <c r="H14" i="2"/>
  <c r="L14" i="7"/>
  <c r="D11" i="7"/>
  <c r="E11" i="7"/>
  <c r="F11" i="7"/>
  <c r="G11" i="7"/>
  <c r="I11" i="7"/>
  <c r="J11" i="7"/>
  <c r="G7" i="2"/>
  <c r="D14" i="7"/>
  <c r="E14" i="7"/>
  <c r="F14" i="7"/>
  <c r="G14" i="7"/>
  <c r="D15" i="7"/>
  <c r="E15" i="7"/>
  <c r="F15" i="7"/>
  <c r="G15" i="7"/>
  <c r="I15" i="7"/>
  <c r="J15" i="7"/>
  <c r="G11" i="2"/>
  <c r="L24" i="7"/>
  <c r="G46" i="10"/>
  <c r="G47" i="10"/>
  <c r="B221" i="9"/>
  <c r="A221" i="9"/>
  <c r="C24" i="6"/>
  <c r="C25" i="6"/>
  <c r="G24" i="6"/>
  <c r="G25" i="6"/>
  <c r="R17" i="6"/>
  <c r="P21" i="6"/>
  <c r="D24" i="6"/>
  <c r="D25" i="6"/>
  <c r="M17" i="6"/>
  <c r="M20" i="6"/>
  <c r="L17" i="6"/>
  <c r="L21" i="6"/>
  <c r="F17" i="6"/>
  <c r="F20" i="6"/>
  <c r="B56" i="10"/>
  <c r="B67" i="10"/>
  <c r="B78" i="10"/>
  <c r="B89" i="10"/>
  <c r="B216" i="9"/>
  <c r="B217" i="9"/>
  <c r="A176" i="9"/>
  <c r="P67" i="10"/>
  <c r="A177" i="9"/>
  <c r="A224" i="9"/>
  <c r="K63" i="10"/>
  <c r="B52" i="10"/>
  <c r="B63" i="10"/>
  <c r="B74" i="10"/>
  <c r="B85" i="10"/>
  <c r="G42" i="10"/>
  <c r="G63" i="10"/>
  <c r="B54" i="10"/>
  <c r="B65" i="10"/>
  <c r="B76" i="10"/>
  <c r="B87" i="10"/>
  <c r="G44" i="10"/>
  <c r="B58" i="10"/>
  <c r="B69" i="10"/>
  <c r="B80" i="10"/>
  <c r="B91" i="10"/>
  <c r="G48" i="10"/>
  <c r="K69" i="10"/>
  <c r="B57" i="10"/>
  <c r="B68" i="10"/>
  <c r="B79" i="10"/>
  <c r="B90" i="10"/>
  <c r="P68" i="10"/>
  <c r="I35" i="10"/>
  <c r="K67" i="10"/>
  <c r="N67" i="10"/>
  <c r="K65" i="10"/>
  <c r="P64" i="10"/>
  <c r="G43" i="10"/>
  <c r="K64" i="10"/>
  <c r="H139" i="9"/>
  <c r="K91" i="9" s="1"/>
  <c r="G114" i="9" s="1"/>
  <c r="L12" i="7"/>
  <c r="D28" i="7"/>
  <c r="E28" i="7"/>
  <c r="F28" i="7"/>
  <c r="G28" i="7"/>
  <c r="I28" i="7"/>
  <c r="J28" i="7"/>
  <c r="G24" i="2"/>
  <c r="G68" i="10"/>
  <c r="N63" i="10"/>
  <c r="I21" i="6"/>
  <c r="I22" i="6"/>
  <c r="I20" i="6"/>
  <c r="K7" i="7"/>
  <c r="H3" i="2"/>
  <c r="L7" i="7"/>
  <c r="L9" i="7"/>
  <c r="M9" i="7"/>
  <c r="M10" i="7"/>
  <c r="K17" i="7"/>
  <c r="H13" i="2"/>
  <c r="L17" i="7"/>
  <c r="D18" i="7"/>
  <c r="E18" i="7"/>
  <c r="F18" i="7"/>
  <c r="G18" i="7"/>
  <c r="I18" i="7"/>
  <c r="J18" i="7"/>
  <c r="G14" i="2"/>
  <c r="M18" i="7"/>
  <c r="L18" i="7"/>
  <c r="M22" i="7"/>
  <c r="L22" i="7"/>
  <c r="D25" i="7"/>
  <c r="E25" i="7"/>
  <c r="F25" i="7"/>
  <c r="G25" i="7"/>
  <c r="I25" i="7"/>
  <c r="J25" i="7"/>
  <c r="G21" i="2"/>
  <c r="K25" i="7"/>
  <c r="H21" i="2"/>
  <c r="L25" i="7"/>
  <c r="K26" i="7"/>
  <c r="H22" i="2"/>
  <c r="L22" i="2"/>
  <c r="M26" i="7"/>
  <c r="L23" i="2"/>
  <c r="D27" i="7"/>
  <c r="E27" i="7"/>
  <c r="F27" i="7"/>
  <c r="G27" i="7"/>
  <c r="I27" i="7"/>
  <c r="J27" i="7"/>
  <c r="G23" i="2"/>
  <c r="B55" i="10"/>
  <c r="B66" i="10"/>
  <c r="B77" i="10"/>
  <c r="B88" i="10"/>
  <c r="G45" i="10"/>
  <c r="P66" i="10"/>
  <c r="D21" i="6"/>
  <c r="P20" i="6"/>
  <c r="P22" i="6"/>
  <c r="M13" i="7"/>
  <c r="K13" i="7"/>
  <c r="H9" i="2"/>
  <c r="D13" i="7"/>
  <c r="E13" i="7"/>
  <c r="F13" i="7"/>
  <c r="G13" i="7"/>
  <c r="I13" i="7"/>
  <c r="J13" i="7"/>
  <c r="G9" i="2"/>
  <c r="M14" i="7"/>
  <c r="K14" i="7"/>
  <c r="H10" i="2"/>
  <c r="B218" i="9"/>
  <c r="A218" i="9"/>
  <c r="A217" i="9"/>
  <c r="M21" i="6"/>
  <c r="M22" i="6"/>
  <c r="M26" i="6"/>
  <c r="F21" i="6"/>
  <c r="F22" i="6"/>
  <c r="F26" i="6"/>
  <c r="P76" i="10"/>
  <c r="N88" i="10"/>
  <c r="K88" i="10"/>
  <c r="P89" i="10"/>
  <c r="N89" i="10"/>
  <c r="K89" i="10"/>
  <c r="G88" i="10"/>
  <c r="G85" i="10"/>
  <c r="P91" i="10"/>
  <c r="G91" i="10"/>
  <c r="N90" i="10"/>
  <c r="G90" i="10"/>
  <c r="N86" i="10"/>
  <c r="N87" i="10"/>
  <c r="P87" i="10"/>
  <c r="P86" i="10"/>
  <c r="N85" i="10"/>
  <c r="K37" i="10"/>
  <c r="G89" i="10"/>
  <c r="I37" i="10"/>
  <c r="K90" i="10"/>
  <c r="P90" i="10"/>
  <c r="N91" i="10"/>
  <c r="P85" i="10"/>
  <c r="K85" i="10"/>
  <c r="G87" i="10"/>
  <c r="P88" i="10"/>
  <c r="K91" i="10"/>
  <c r="G86" i="10"/>
  <c r="K87" i="10"/>
  <c r="K86" i="10"/>
  <c r="K55" i="10"/>
  <c r="P58" i="10"/>
  <c r="K57" i="10"/>
  <c r="P55" i="10"/>
  <c r="N58" i="10"/>
  <c r="G58" i="10"/>
  <c r="N53" i="10"/>
  <c r="P53" i="10"/>
  <c r="G56" i="10"/>
  <c r="N52" i="10"/>
  <c r="N57" i="10"/>
  <c r="N56" i="10"/>
  <c r="K52" i="10"/>
  <c r="P52" i="10"/>
  <c r="K58" i="10"/>
  <c r="P56" i="10"/>
  <c r="G55" i="10"/>
  <c r="K53" i="10"/>
  <c r="G78" i="10"/>
  <c r="N79" i="10"/>
  <c r="K77" i="10"/>
  <c r="G74" i="10"/>
  <c r="N74" i="10"/>
  <c r="G76" i="10"/>
  <c r="K80" i="10"/>
  <c r="N78" i="10"/>
  <c r="K78" i="10"/>
  <c r="G77" i="10"/>
  <c r="K75" i="10"/>
  <c r="P77" i="10"/>
  <c r="P79" i="10"/>
  <c r="N77" i="10"/>
  <c r="P78" i="10"/>
  <c r="P74" i="10"/>
  <c r="K74" i="10"/>
  <c r="N76" i="10"/>
  <c r="N80" i="10"/>
  <c r="G80" i="10"/>
  <c r="I36" i="10"/>
  <c r="K36" i="10"/>
  <c r="K79" i="10"/>
  <c r="G79" i="10"/>
  <c r="P80" i="10"/>
  <c r="K76" i="10"/>
  <c r="N75" i="10"/>
  <c r="N81" i="10"/>
  <c r="P75" i="10"/>
  <c r="G75" i="10"/>
  <c r="B3" i="11"/>
  <c r="F29" i="6"/>
  <c r="F32" i="6"/>
  <c r="M29" i="6"/>
  <c r="M32" i="6"/>
  <c r="M34" i="6"/>
  <c r="M35" i="6"/>
  <c r="M36" i="6"/>
  <c r="N92" i="10"/>
  <c r="H131" i="9"/>
  <c r="G81" i="10"/>
  <c r="L26" i="6"/>
  <c r="L20" i="6"/>
  <c r="L22" i="6"/>
  <c r="L29" i="6"/>
  <c r="L32" i="6"/>
  <c r="G20" i="6"/>
  <c r="G21" i="6"/>
  <c r="G22" i="6"/>
  <c r="G29" i="6"/>
  <c r="G32" i="6"/>
  <c r="G34" i="6"/>
  <c r="G26" i="6"/>
  <c r="E24" i="6"/>
  <c r="E25" i="6"/>
  <c r="E17" i="6"/>
  <c r="E21" i="6"/>
  <c r="M24" i="7"/>
  <c r="K24" i="7"/>
  <c r="H20" i="2"/>
  <c r="D24" i="7"/>
  <c r="E24" i="7"/>
  <c r="F24" i="7"/>
  <c r="G24" i="7"/>
  <c r="I24" i="7"/>
  <c r="J24" i="7"/>
  <c r="G20" i="2"/>
  <c r="D26" i="7"/>
  <c r="E26" i="7"/>
  <c r="F26" i="7"/>
  <c r="G26" i="7"/>
  <c r="I26" i="7"/>
  <c r="J26" i="7"/>
  <c r="G22" i="2"/>
  <c r="L26" i="7"/>
  <c r="K21" i="7"/>
  <c r="H17" i="2"/>
  <c r="M21" i="7"/>
  <c r="L21" i="7"/>
  <c r="M23" i="7"/>
  <c r="L23" i="7"/>
  <c r="K23" i="7"/>
  <c r="H19" i="2"/>
  <c r="G92" i="10"/>
  <c r="R20" i="6"/>
  <c r="R26" i="6"/>
  <c r="R21" i="6"/>
  <c r="N24" i="6"/>
  <c r="N25" i="6"/>
  <c r="N17" i="6"/>
  <c r="N21" i="6"/>
  <c r="N22" i="6"/>
  <c r="K6" i="7"/>
  <c r="H2" i="2"/>
  <c r="D6" i="7"/>
  <c r="E6" i="7"/>
  <c r="F6" i="7"/>
  <c r="G6" i="7"/>
  <c r="I6" i="7"/>
  <c r="J6" i="7"/>
  <c r="G2" i="2"/>
  <c r="L6" i="7"/>
  <c r="K8" i="7"/>
  <c r="H4" i="2"/>
  <c r="D8" i="7"/>
  <c r="E8" i="7"/>
  <c r="F8" i="7"/>
  <c r="G8" i="7"/>
  <c r="I8" i="7"/>
  <c r="J8" i="7"/>
  <c r="G4" i="2"/>
  <c r="M8" i="7"/>
  <c r="D10" i="7"/>
  <c r="E10" i="7"/>
  <c r="F10" i="7"/>
  <c r="G10" i="7"/>
  <c r="I10" i="7"/>
  <c r="J10" i="7"/>
  <c r="G6" i="2"/>
  <c r="K10" i="7"/>
  <c r="H6" i="2"/>
  <c r="L10" i="7"/>
  <c r="L19" i="7"/>
  <c r="D19" i="7"/>
  <c r="E19" i="7"/>
  <c r="F19" i="7"/>
  <c r="G19" i="7"/>
  <c r="I19" i="7"/>
  <c r="J19" i="7"/>
  <c r="G15" i="2"/>
  <c r="M19" i="7"/>
  <c r="K19" i="7"/>
  <c r="H15" i="2"/>
  <c r="B181" i="9"/>
  <c r="A165" i="9"/>
  <c r="G57" i="10"/>
  <c r="G52" i="10"/>
  <c r="K56" i="10"/>
  <c r="G54" i="10"/>
  <c r="G53" i="10"/>
  <c r="I38" i="10"/>
  <c r="K54" i="10"/>
  <c r="P54" i="10"/>
  <c r="K38" i="10"/>
  <c r="N55" i="10"/>
  <c r="D3" i="11" a="1"/>
  <c r="D3" i="11"/>
  <c r="N54" i="10"/>
  <c r="N59" i="10"/>
  <c r="P57" i="10"/>
  <c r="O21" i="6"/>
  <c r="O20" i="6"/>
  <c r="O22" i="6"/>
  <c r="O26" i="6"/>
  <c r="D20" i="6"/>
  <c r="D22" i="6"/>
  <c r="D29" i="6"/>
  <c r="D32" i="6"/>
  <c r="K17" i="6"/>
  <c r="K24" i="6"/>
  <c r="K25" i="6"/>
  <c r="A214" i="9"/>
  <c r="N66" i="10"/>
  <c r="G67" i="10"/>
  <c r="P63" i="10"/>
  <c r="G65" i="10"/>
  <c r="P69" i="10"/>
  <c r="O24" i="6"/>
  <c r="O25" i="6"/>
  <c r="J17" i="6"/>
  <c r="D12" i="7"/>
  <c r="E12" i="7"/>
  <c r="F12" i="7"/>
  <c r="G12" i="7"/>
  <c r="I12" i="7"/>
  <c r="J12" i="7"/>
  <c r="G8" i="2"/>
  <c r="G59" i="10"/>
  <c r="E26" i="6"/>
  <c r="G35" i="6"/>
  <c r="G36" i="6"/>
  <c r="K20" i="6"/>
  <c r="K26" i="6"/>
  <c r="K21" i="6"/>
  <c r="K22" i="6"/>
  <c r="K29" i="6"/>
  <c r="K32" i="6"/>
  <c r="K35" i="6"/>
  <c r="K36" i="6"/>
  <c r="J26" i="6"/>
  <c r="J21" i="6"/>
  <c r="J22" i="6"/>
  <c r="J29" i="6"/>
  <c r="J32" i="6"/>
  <c r="J20" i="6"/>
  <c r="B182" i="9"/>
  <c r="A166" i="9"/>
  <c r="A167" i="9"/>
  <c r="B184" i="9"/>
  <c r="B183" i="9"/>
  <c r="R22" i="6"/>
  <c r="R29" i="6"/>
  <c r="R32" i="6"/>
  <c r="R35" i="6"/>
  <c r="R36" i="6"/>
  <c r="N20" i="6"/>
  <c r="N26" i="6"/>
  <c r="K34" i="6"/>
  <c r="N29" i="6"/>
  <c r="N32" i="6"/>
  <c r="N35" i="6"/>
  <c r="N36" i="6"/>
  <c r="N37" i="6"/>
  <c r="N34" i="6"/>
  <c r="F3" i="11" a="1"/>
  <c r="F3" i="11"/>
  <c r="N38" i="6"/>
  <c r="N39" i="6"/>
  <c r="R37" i="6"/>
  <c r="R38" i="6"/>
  <c r="J34" i="6"/>
  <c r="J35" i="6"/>
  <c r="J36" i="6"/>
  <c r="K38" i="6"/>
  <c r="K39" i="6"/>
  <c r="K37" i="6"/>
  <c r="L35" i="6"/>
  <c r="L36" i="6"/>
  <c r="L34" i="6"/>
  <c r="F34" i="6"/>
  <c r="F35" i="6"/>
  <c r="F36" i="6"/>
  <c r="M38" i="6"/>
  <c r="M39" i="6"/>
  <c r="M37" i="6"/>
  <c r="R34" i="6"/>
  <c r="D34" i="6"/>
  <c r="D35" i="6"/>
  <c r="D36" i="6"/>
  <c r="O29" i="6"/>
  <c r="O32" i="6"/>
  <c r="G37" i="6"/>
  <c r="G38" i="6"/>
  <c r="G39" i="6"/>
  <c r="G3" i="11" a="1"/>
  <c r="G3" i="11"/>
  <c r="I14" i="7"/>
  <c r="J14" i="7"/>
  <c r="G10" i="2"/>
  <c r="H17" i="6"/>
  <c r="H24" i="6"/>
  <c r="H25" i="6"/>
  <c r="I21" i="7"/>
  <c r="J21" i="7"/>
  <c r="G17" i="2"/>
  <c r="A163" i="9"/>
  <c r="E20" i="6"/>
  <c r="E22" i="6"/>
  <c r="E29" i="6"/>
  <c r="E32" i="6"/>
  <c r="B222" i="9"/>
  <c r="A222" i="9"/>
  <c r="M17" i="7"/>
  <c r="D17" i="7"/>
  <c r="E17" i="7"/>
  <c r="F17" i="7"/>
  <c r="G17" i="7"/>
  <c r="I17" i="7"/>
  <c r="J17" i="7"/>
  <c r="G13" i="2"/>
  <c r="L27" i="7"/>
  <c r="K27" i="7"/>
  <c r="H23" i="2"/>
  <c r="A223" i="9"/>
  <c r="B17" i="6"/>
  <c r="B24" i="6"/>
  <c r="B25" i="6"/>
  <c r="I26" i="6"/>
  <c r="I29" i="6"/>
  <c r="I32" i="6"/>
  <c r="A211" i="9"/>
  <c r="B212" i="9"/>
  <c r="A216" i="9"/>
  <c r="K66" i="10"/>
  <c r="G66" i="10"/>
  <c r="G69" i="10"/>
  <c r="K35" i="10"/>
  <c r="P65" i="10"/>
  <c r="N69" i="10"/>
  <c r="K68" i="10"/>
  <c r="N68" i="10"/>
  <c r="N65" i="10"/>
  <c r="G64" i="10"/>
  <c r="N64" i="10"/>
  <c r="C26" i="6"/>
  <c r="C20" i="6"/>
  <c r="C21" i="6"/>
  <c r="P26" i="6"/>
  <c r="P29" i="6"/>
  <c r="P32" i="6"/>
  <c r="M11" i="7"/>
  <c r="L11" i="7"/>
  <c r="K11" i="7"/>
  <c r="H7" i="2"/>
  <c r="Q17" i="6"/>
  <c r="D16" i="7"/>
  <c r="E16" i="7"/>
  <c r="F16" i="7"/>
  <c r="G16" i="7"/>
  <c r="I16" i="7"/>
  <c r="J16" i="7"/>
  <c r="G12" i="2"/>
  <c r="K16" i="7"/>
  <c r="H12" i="2"/>
  <c r="K20" i="7"/>
  <c r="H16" i="2"/>
  <c r="L20" i="7"/>
  <c r="I35" i="6"/>
  <c r="I36" i="6"/>
  <c r="I34" i="6"/>
  <c r="E35" i="6"/>
  <c r="E36" i="6"/>
  <c r="E34" i="6"/>
  <c r="L38" i="6"/>
  <c r="L39" i="6"/>
  <c r="L37" i="6"/>
  <c r="Q20" i="6"/>
  <c r="Q21" i="6"/>
  <c r="Q26" i="6"/>
  <c r="F38" i="6"/>
  <c r="F39" i="6"/>
  <c r="F37" i="6"/>
  <c r="R39" i="6"/>
  <c r="P35" i="6"/>
  <c r="P36" i="6"/>
  <c r="P34" i="6"/>
  <c r="C22" i="6"/>
  <c r="C29" i="6"/>
  <c r="C32" i="6"/>
  <c r="N70" i="10"/>
  <c r="A212" i="9"/>
  <c r="B213" i="9"/>
  <c r="A213" i="9"/>
  <c r="B234" i="9"/>
  <c r="H20" i="6"/>
  <c r="H21" i="6"/>
  <c r="H26" i="6"/>
  <c r="O35" i="6"/>
  <c r="O36" i="6"/>
  <c r="O34" i="6"/>
  <c r="E3" i="11" a="1"/>
  <c r="E3" i="11"/>
  <c r="G70" i="10"/>
  <c r="A219" i="9"/>
  <c r="B235" i="9"/>
  <c r="A220" i="9"/>
  <c r="B231" i="9"/>
  <c r="B21" i="6"/>
  <c r="B22" i="6"/>
  <c r="B29" i="6"/>
  <c r="B32" i="6"/>
  <c r="B20" i="6"/>
  <c r="B26" i="6"/>
  <c r="D38" i="6"/>
  <c r="D39" i="6"/>
  <c r="D37" i="6"/>
  <c r="J37" i="6"/>
  <c r="J38" i="6"/>
  <c r="J39" i="6"/>
  <c r="B34" i="6"/>
  <c r="B35" i="6"/>
  <c r="B36" i="6"/>
  <c r="A209" i="9"/>
  <c r="P37" i="6"/>
  <c r="P38" i="6"/>
  <c r="P39" i="6"/>
  <c r="E37" i="6"/>
  <c r="E38" i="6"/>
  <c r="E39" i="6"/>
  <c r="B229" i="9"/>
  <c r="A14" i="9"/>
  <c r="A239" i="9"/>
  <c r="B230" i="9"/>
  <c r="B232" i="9"/>
  <c r="B236" i="9"/>
  <c r="B233" i="9"/>
  <c r="H22" i="6"/>
  <c r="H29" i="6"/>
  <c r="H32" i="6"/>
  <c r="O38" i="6"/>
  <c r="O39" i="6"/>
  <c r="O37" i="6"/>
  <c r="C34" i="6"/>
  <c r="C35" i="6"/>
  <c r="C36" i="6"/>
  <c r="Q22" i="6"/>
  <c r="Q29" i="6"/>
  <c r="Q32" i="6"/>
  <c r="I37" i="6"/>
  <c r="I38" i="6"/>
  <c r="I39" i="6"/>
  <c r="I239" i="9"/>
  <c r="O239" i="9"/>
  <c r="L239" i="9"/>
  <c r="H239" i="9"/>
  <c r="M239" i="9"/>
  <c r="E239" i="9"/>
  <c r="J239" i="9"/>
  <c r="G239" i="9"/>
  <c r="C239" i="9"/>
  <c r="K239" i="9"/>
  <c r="N239" i="9"/>
  <c r="D239" i="9"/>
  <c r="P239" i="9"/>
  <c r="F239" i="9"/>
  <c r="B239" i="9"/>
  <c r="Q34" i="6"/>
  <c r="Q35" i="6"/>
  <c r="Q36" i="6"/>
  <c r="B37" i="6"/>
  <c r="B38" i="6"/>
  <c r="B39" i="6"/>
  <c r="C37" i="6"/>
  <c r="C38" i="6"/>
  <c r="C39" i="6"/>
  <c r="H34" i="6"/>
  <c r="H35" i="6"/>
  <c r="H36" i="6"/>
  <c r="E60" i="9"/>
  <c r="E58" i="9"/>
  <c r="E55" i="9"/>
  <c r="D55" i="9"/>
  <c r="E54" i="9"/>
  <c r="E57" i="9"/>
  <c r="D57" i="9"/>
  <c r="E56" i="9"/>
  <c r="D56" i="9"/>
  <c r="H37" i="6"/>
  <c r="H38" i="6"/>
  <c r="H39" i="6"/>
  <c r="F56" i="9"/>
  <c r="F57" i="9"/>
  <c r="B2" i="2" a="1"/>
  <c r="Q38" i="6"/>
  <c r="Q39" i="6"/>
  <c r="Q37" i="6"/>
  <c r="B9" i="2"/>
  <c r="L9" i="2"/>
  <c r="B5" i="2"/>
  <c r="L5" i="2"/>
  <c r="B16" i="2"/>
  <c r="L16" i="2"/>
  <c r="B18" i="2"/>
  <c r="L18" i="2"/>
  <c r="B13" i="2"/>
  <c r="L13" i="2"/>
  <c r="B8" i="2"/>
  <c r="L8" i="2"/>
  <c r="B4" i="2"/>
  <c r="L4" i="2"/>
  <c r="F134" i="9"/>
  <c r="W134" i="9"/>
  <c r="B12" i="2"/>
  <c r="L12" i="2"/>
  <c r="F131" i="9"/>
  <c r="W131" i="9"/>
  <c r="B14" i="2"/>
  <c r="L14" i="2"/>
  <c r="B11" i="2"/>
  <c r="L11" i="2"/>
  <c r="B6" i="2"/>
  <c r="L6" i="2"/>
  <c r="F136" i="9"/>
  <c r="B7" i="2"/>
  <c r="L7" i="2"/>
  <c r="B3" i="2"/>
  <c r="L3" i="2"/>
  <c r="B10" i="2"/>
  <c r="L10" i="2"/>
  <c r="F132" i="9"/>
  <c r="B17" i="2"/>
  <c r="L17" i="2"/>
  <c r="B2" i="2"/>
  <c r="L2" i="2"/>
  <c r="B15" i="2"/>
  <c r="L15" i="2"/>
  <c r="W136" i="9"/>
  <c r="W132" i="9"/>
  <c r="F133" i="9"/>
  <c r="F135" i="9"/>
  <c r="W133" i="9"/>
  <c r="W135" i="9"/>
  <c r="K90" i="9" l="1"/>
  <c r="G113" i="9" s="1"/>
  <c r="K89" i="9"/>
  <c r="D112" i="9" s="1"/>
  <c r="E137" i="9" a="1"/>
  <c r="E137" i="9" s="1"/>
  <c r="G137" i="9" s="1"/>
  <c r="G133" i="9"/>
  <c r="H133" i="9" s="1"/>
  <c r="U133" i="9" s="1"/>
  <c r="J88" i="9"/>
  <c r="D99" i="9" s="1"/>
  <c r="U139" i="9"/>
  <c r="J89" i="9"/>
  <c r="E100" i="9" s="1"/>
  <c r="K87" i="9"/>
  <c r="G110" i="9" s="1"/>
  <c r="P70" i="10"/>
  <c r="J3" i="11" a="1"/>
  <c r="J3" i="11" s="1"/>
  <c r="H3" i="11" a="1"/>
  <c r="H3" i="11" s="1"/>
  <c r="P59" i="10"/>
  <c r="I3" i="11" a="1"/>
  <c r="I3" i="11" s="1"/>
  <c r="K3" i="11" a="1"/>
  <c r="K3" i="11" s="1"/>
  <c r="P92" i="10"/>
  <c r="P81" i="10"/>
  <c r="I88" i="10"/>
  <c r="K88" i="9"/>
  <c r="H111" i="9" s="1"/>
  <c r="I75" i="10"/>
  <c r="H137" i="9"/>
  <c r="U137" i="9" s="1"/>
  <c r="J91" i="9"/>
  <c r="G102" i="9" s="1"/>
  <c r="J87" i="9"/>
  <c r="D98" i="9" s="1"/>
  <c r="K81" i="10"/>
  <c r="K59" i="10"/>
  <c r="E113" i="9"/>
  <c r="I69" i="10"/>
  <c r="E114" i="9"/>
  <c r="F114" i="9"/>
  <c r="J90" i="9"/>
  <c r="I76" i="10"/>
  <c r="I52" i="10"/>
  <c r="J86" i="9"/>
  <c r="E97" i="9" s="1"/>
  <c r="G134" i="9"/>
  <c r="H134" i="9" s="1"/>
  <c r="I63" i="10"/>
  <c r="M37" i="10"/>
  <c r="H114" i="9"/>
  <c r="K86" i="9"/>
  <c r="D114" i="9"/>
  <c r="K92" i="10"/>
  <c r="K70" i="10"/>
  <c r="M38" i="10"/>
  <c r="G136" i="9"/>
  <c r="H136" i="9" s="1"/>
  <c r="J85" i="9"/>
  <c r="K85" i="9"/>
  <c r="I74" i="10"/>
  <c r="I91" i="10"/>
  <c r="I68" i="10"/>
  <c r="I89" i="10"/>
  <c r="U131" i="9"/>
  <c r="I79" i="10"/>
  <c r="M36" i="10"/>
  <c r="I53" i="10"/>
  <c r="C66" i="9"/>
  <c r="G131" i="9" s="1"/>
  <c r="I85" i="10"/>
  <c r="I86" i="10"/>
  <c r="I65" i="10"/>
  <c r="I55" i="10"/>
  <c r="I58" i="10"/>
  <c r="I77" i="10"/>
  <c r="I67" i="10"/>
  <c r="I78" i="10"/>
  <c r="G135" i="9"/>
  <c r="H135" i="9" s="1"/>
  <c r="U135" i="9" s="1"/>
  <c r="G132" i="9"/>
  <c r="H132" i="9" s="1"/>
  <c r="I56" i="10"/>
  <c r="M35" i="10"/>
  <c r="I80" i="10"/>
  <c r="I66" i="10"/>
  <c r="I64" i="10"/>
  <c r="I87" i="10"/>
  <c r="I54" i="10"/>
  <c r="I90" i="10"/>
  <c r="I57" i="10"/>
  <c r="H113" i="9" l="1"/>
  <c r="E110" i="9"/>
  <c r="F113" i="9"/>
  <c r="D100" i="9"/>
  <c r="E112" i="9"/>
  <c r="G112" i="9"/>
  <c r="D113" i="9"/>
  <c r="F112" i="9"/>
  <c r="H112" i="9"/>
  <c r="E99" i="9"/>
  <c r="G97" i="9"/>
  <c r="H99" i="9"/>
  <c r="F99" i="9"/>
  <c r="F97" i="9"/>
  <c r="D110" i="9"/>
  <c r="G99" i="9"/>
  <c r="H110" i="9"/>
  <c r="E102" i="9"/>
  <c r="F110" i="9"/>
  <c r="H98" i="9"/>
  <c r="G100" i="9"/>
  <c r="F100" i="9"/>
  <c r="H100" i="9"/>
  <c r="D111" i="9"/>
  <c r="F111" i="9"/>
  <c r="D97" i="9"/>
  <c r="E111" i="9"/>
  <c r="F102" i="9"/>
  <c r="H97" i="9"/>
  <c r="G111" i="9"/>
  <c r="H102" i="9"/>
  <c r="D102" i="9"/>
  <c r="F98" i="9"/>
  <c r="E98" i="9"/>
  <c r="G98" i="9"/>
  <c r="I70" i="10"/>
  <c r="I59" i="10"/>
  <c r="F101" i="9"/>
  <c r="G101" i="9"/>
  <c r="E101" i="9"/>
  <c r="H101" i="9"/>
  <c r="E109" i="9"/>
  <c r="D109" i="9"/>
  <c r="F109" i="9"/>
  <c r="H109" i="9"/>
  <c r="G109" i="9"/>
  <c r="D101" i="9"/>
  <c r="I92" i="10"/>
  <c r="I81" i="10"/>
  <c r="K15" i="10"/>
  <c r="K17" i="10"/>
  <c r="E108" i="9"/>
  <c r="G108" i="9"/>
  <c r="K14" i="10"/>
  <c r="D108" i="9"/>
  <c r="M92" i="9"/>
  <c r="H108" i="9"/>
  <c r="H115" i="9" s="1"/>
  <c r="M124" i="10" s="1"/>
  <c r="F108" i="9"/>
  <c r="K16" i="10"/>
  <c r="U132" i="9"/>
  <c r="U134" i="9" s="1"/>
  <c r="H138" i="9"/>
  <c r="H140" i="9" s="1"/>
  <c r="H143" i="9" s="1"/>
  <c r="K12" i="10" s="1"/>
  <c r="E96" i="9"/>
  <c r="D96" i="9"/>
  <c r="F96" i="9"/>
  <c r="L92" i="9"/>
  <c r="H96" i="9"/>
  <c r="G96" i="9"/>
  <c r="G103" i="9" l="1"/>
  <c r="D103" i="9"/>
  <c r="D120" i="10" s="1"/>
  <c r="E103" i="9"/>
  <c r="G120" i="10" s="1"/>
  <c r="H103" i="9"/>
  <c r="M120" i="10" s="1"/>
  <c r="F115" i="9"/>
  <c r="F103" i="9"/>
  <c r="E115" i="9"/>
  <c r="G124" i="10" s="1"/>
  <c r="AD98" i="10"/>
  <c r="U56" i="10"/>
  <c r="U66" i="10"/>
  <c r="U88" i="10"/>
  <c r="U58" i="10"/>
  <c r="U52" i="10"/>
  <c r="U64" i="10"/>
  <c r="U89" i="10"/>
  <c r="U53" i="10"/>
  <c r="U76" i="10"/>
  <c r="U90" i="10"/>
  <c r="G115" i="9"/>
  <c r="U78" i="10"/>
  <c r="U54" i="10"/>
  <c r="U79" i="10"/>
  <c r="U69" i="10"/>
  <c r="U57" i="10"/>
  <c r="U86" i="10"/>
  <c r="U74" i="10"/>
  <c r="U85" i="10"/>
  <c r="U67" i="10"/>
  <c r="U87" i="10"/>
  <c r="U65" i="10"/>
  <c r="U75" i="10"/>
  <c r="U91" i="10"/>
  <c r="U63" i="10"/>
  <c r="U77" i="10"/>
  <c r="U68" i="10"/>
  <c r="U55" i="10"/>
  <c r="U80" i="10"/>
  <c r="L98" i="10"/>
  <c r="AE97" i="10"/>
  <c r="B97" i="10" s="1"/>
  <c r="AA97" i="10" s="1"/>
  <c r="U136" i="9"/>
  <c r="U138" i="9" s="1"/>
  <c r="L97" i="10"/>
  <c r="AE98" i="10"/>
  <c r="B98" i="10" s="1"/>
  <c r="AA98" i="10" s="1"/>
  <c r="S90" i="10"/>
  <c r="S75" i="10"/>
  <c r="S91" i="10"/>
  <c r="S54" i="10"/>
  <c r="S65" i="10"/>
  <c r="S89" i="10"/>
  <c r="S78" i="10"/>
  <c r="S67" i="10"/>
  <c r="S77" i="10"/>
  <c r="S56" i="10"/>
  <c r="S68" i="10"/>
  <c r="S86" i="10"/>
  <c r="S63" i="10"/>
  <c r="S87" i="10"/>
  <c r="S74" i="10"/>
  <c r="S85" i="10"/>
  <c r="S55" i="10"/>
  <c r="S66" i="10"/>
  <c r="S53" i="10"/>
  <c r="D115" i="9"/>
  <c r="D124" i="10" s="1"/>
  <c r="S79" i="10"/>
  <c r="S58" i="10"/>
  <c r="S64" i="10"/>
  <c r="S80" i="10"/>
  <c r="S52" i="10"/>
  <c r="S76" i="10"/>
  <c r="S57" i="10"/>
  <c r="S69" i="10"/>
  <c r="S88" i="10"/>
  <c r="H97" i="10"/>
  <c r="H98" i="10"/>
  <c r="AD97" i="10"/>
  <c r="L99" i="10" l="1"/>
  <c r="J120" i="10"/>
  <c r="J124" i="10"/>
  <c r="U70" i="10"/>
  <c r="Q3" i="11" s="1"/>
  <c r="H99" i="10"/>
  <c r="L100" i="10"/>
  <c r="L101" i="10"/>
  <c r="AD100" i="10"/>
  <c r="B101" i="10"/>
  <c r="AA101" i="10" s="1"/>
  <c r="AE103" i="10"/>
  <c r="H102" i="10"/>
  <c r="L103" i="10"/>
  <c r="AE100" i="10"/>
  <c r="B100" i="10" s="1"/>
  <c r="AA100" i="10" s="1"/>
  <c r="AE102" i="10"/>
  <c r="B103" i="10"/>
  <c r="AA103" i="10" s="1"/>
  <c r="B102" i="10"/>
  <c r="AA102" i="10" s="1"/>
  <c r="H101" i="10"/>
  <c r="H103" i="10"/>
  <c r="L104" i="10"/>
  <c r="H100" i="10"/>
  <c r="AE99" i="10"/>
  <c r="B99" i="10" s="1"/>
  <c r="AA99" i="10" s="1"/>
  <c r="B104" i="10"/>
  <c r="AA104" i="10" s="1"/>
  <c r="AE104" i="10"/>
  <c r="S59" i="10"/>
  <c r="L3" i="11" s="1"/>
  <c r="S70" i="10"/>
  <c r="M3" i="11" s="1"/>
  <c r="U92" i="10"/>
  <c r="R3" i="11" s="1"/>
  <c r="H104" i="10"/>
  <c r="AE101" i="10"/>
  <c r="S92" i="10"/>
  <c r="N3" i="11" s="1"/>
  <c r="AD101" i="10"/>
  <c r="AD104" i="10"/>
  <c r="U81" i="10"/>
  <c r="S3" i="11" s="1"/>
  <c r="L102" i="10"/>
  <c r="AD103" i="10"/>
  <c r="S81" i="10"/>
  <c r="O3" i="11" s="1"/>
  <c r="U59" i="10"/>
  <c r="P3" i="11" s="1"/>
  <c r="AD102" i="10"/>
  <c r="AD99" i="10"/>
  <c r="L105" i="10" l="1"/>
  <c r="L108" i="10" s="1"/>
</calcChain>
</file>

<file path=xl/sharedStrings.xml><?xml version="1.0" encoding="utf-8"?>
<sst xmlns="http://schemas.openxmlformats.org/spreadsheetml/2006/main" count="528" uniqueCount="344">
  <si>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</si>
  <si>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</si>
  <si>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</si>
  <si>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</si>
  <si>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</si>
  <si>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</si>
  <si>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</si>
  <si>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</si>
  <si>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</si>
  <si>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</si>
  <si>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</si>
  <si>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</si>
  <si>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</si>
  <si>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</si>
  <si>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</si>
  <si>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</si>
  <si>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</si>
  <si>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</si>
  <si>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</si>
  <si>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</si>
  <si>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</si>
  <si>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</si>
  <si>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</si>
  <si>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</si>
  <si>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</si>
  <si>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</si>
  <si>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</si>
  <si>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</si>
  <si>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</si>
  <si>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</si>
  <si>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</si>
  <si>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</si>
  <si>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</si>
  <si>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</si>
  <si>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</si>
  <si>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</si>
  <si>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</si>
  <si>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</si>
  <si>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</si>
  <si>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</si>
  <si>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</si>
  <si>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</si>
  <si>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</si>
  <si>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</si>
  <si>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</si>
  <si>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</si>
  <si>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</si>
  <si>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</si>
  <si>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</si>
  <si>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</si>
  <si>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</si>
  <si>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</si>
  <si>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</si>
  <si>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</si>
  <si>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</si>
  <si>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</si>
  <si>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</si>
  <si>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</si>
  <si>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</si>
  <si>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</si>
  <si>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</si>
  <si>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</si>
  <si>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</si>
  <si>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</si>
  <si>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</si>
  <si>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</si>
  <si>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</si>
  <si>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</si>
  <si>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</si>
  <si>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</si>
  <si>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</si>
  <si>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</si>
  <si>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</si>
  <si>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</si>
  <si>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</si>
  <si>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</si>
  <si>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</si>
  <si>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</si>
  <si>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</si>
  <si>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</si>
  <si>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</si>
  <si>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</si>
  <si>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</si>
  <si>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</si>
  <si>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</si>
  <si>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</si>
  <si>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</si>
  <si>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</si>
  <si>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</si>
  <si>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</si>
  <si>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</si>
  <si>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</si>
  <si>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</si>
  <si>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</si>
  <si>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</si>
  <si>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</si>
  <si>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</si>
  <si>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</si>
  <si>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</si>
  <si>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</si>
  <si>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</si>
  <si>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</si>
  <si>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</si>
  <si>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</si>
  <si>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</si>
  <si>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</si>
  <si>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</si>
  <si>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</si>
  <si>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</si>
  <si>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</si>
  <si>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</si>
  <si>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</si>
  <si>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</si>
  <si>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</si>
  <si>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</si>
  <si>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</si>
  <si>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</si>
  <si>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</si>
  <si>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</si>
  <si>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</si>
  <si>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</si>
  <si>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</si>
  <si>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</si>
  <si>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</si>
  <si>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Modalità di gestione</t>
  </si>
  <si>
    <t>CCNL applicato</t>
  </si>
  <si>
    <t>CCNL EE.LL. (straordinario feriale)</t>
  </si>
  <si>
    <t>CCNL EE.LL. (contratti a tempo determinato, co.co.co.)</t>
  </si>
  <si>
    <t>Dati</t>
  </si>
  <si>
    <t>E' previsto coordinamento?</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</si>
  <si>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</si>
  <si>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</si>
  <si>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</si>
  <si>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</si>
  <si>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</si>
  <si>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</si>
  <si>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</si>
  <si>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</si>
  <si>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</si>
  <si>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</si>
  <si>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</si>
  <si>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1° semestre 2016</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</si>
  <si>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</si>
  <si>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</si>
  <si>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</si>
  <si>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</si>
  <si>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</si>
  <si>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</si>
  <si>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</si>
  <si>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</si>
  <si>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</si>
  <si>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</si>
  <si>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</si>
  <si>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</si>
  <si>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</si>
  <si>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</si>
  <si>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</si>
  <si>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</si>
  <si>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</si>
  <si>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d.</t>
  </si>
  <si>
    <t>f.</t>
  </si>
  <si>
    <t>g.</t>
  </si>
  <si>
    <t>h.</t>
  </si>
  <si>
    <t>i.</t>
  </si>
  <si>
    <t>C. Piano delle spese</t>
  </si>
  <si>
    <t>a. Tipologie di spesa</t>
  </si>
  <si>
    <t>Quantità</t>
  </si>
  <si>
    <t>Totale al netto compartecipazione</t>
  </si>
  <si>
    <t>1° semestre 2017</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</si>
  <si>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</si>
  <si>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</si>
  <si>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</si>
  <si>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</si>
  <si>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</si>
  <si>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</si>
  <si>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</si>
  <si>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</si>
  <si>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</si>
  <si>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2° sem 2015</t>
  </si>
  <si>
    <t>1° sem 2016</t>
  </si>
  <si>
    <t>2° sem 2016</t>
  </si>
  <si>
    <t>1° sem 2017</t>
  </si>
  <si>
    <t>totale al lordo compartecipazione</t>
  </si>
  <si>
    <t>F. Cronoprogramma di avanzamento del finanziamento</t>
  </si>
  <si>
    <t>ore del/dei coordinatore/i</t>
  </si>
  <si>
    <t>appalto di servizio ex D.lgs 163/2006 e ss.mm.ii. già aggiudicato</t>
  </si>
  <si>
    <t>appalto di servizio ex D.lgs 163/2006 e ss.mm.ii. da bandire</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</si>
  <si>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</si>
  <si>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</si>
  <si>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</si>
  <si>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</si>
  <si>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</si>
  <si>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</si>
  <si>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</si>
  <si>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</si>
  <si>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</si>
  <si>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</si>
  <si>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rapporto ausiliari</t>
  </si>
  <si>
    <t>Nome struttura</t>
  </si>
  <si>
    <t>n. utenti sostenuti dal PAC</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</si>
  <si>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</si>
  <si>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</si>
  <si>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</si>
  <si>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</si>
  <si>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</si>
  <si>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</si>
  <si>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</si>
  <si>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</si>
  <si>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</si>
  <si>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</si>
  <si>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</si>
  <si>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</si>
  <si>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</si>
  <si>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</si>
  <si>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</si>
  <si>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</si>
  <si>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</si>
  <si>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</si>
  <si>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</si>
  <si>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</si>
  <si>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Unità di personale a diretto contatto con l'utenza</t>
  </si>
  <si>
    <t>Cuoco</t>
  </si>
  <si>
    <t>Limite massimo (di unità equivalenti)</t>
  </si>
  <si>
    <t>Unità equivalenti previste</t>
  </si>
  <si>
    <t>Estensione dell'orario di servizio (maggiore orario settimanale)</t>
  </si>
  <si>
    <t>Responsabile Amministrativo</t>
  </si>
  <si>
    <t>numero di pasti teorici</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</si>
  <si>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</si>
  <si>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</si>
  <si>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</si>
  <si>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</si>
  <si>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</si>
  <si>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</si>
  <si>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</si>
  <si>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</si>
  <si>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</si>
  <si>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</si>
  <si>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</si>
  <si>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</si>
  <si>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</si>
  <si>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</si>
  <si>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</si>
  <si>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a.s. 2015-2016</t>
  </si>
  <si>
    <t>luglio-agosto 2016</t>
  </si>
  <si>
    <t>a.s. 2016-2017</t>
  </si>
  <si>
    <t>settembre-dicembre 2015</t>
  </si>
  <si>
    <t>settembre-dicembre 2016</t>
  </si>
  <si>
    <t>Verifica di corrispondenza</t>
  </si>
  <si>
    <t>Il soggetto che paga i servizi oggetto della scheda di intervento, incassa delle somme dagli utenti in ragione di servizi all'infanzia?</t>
  </si>
  <si>
    <t>Costo lordo</t>
  </si>
  <si>
    <t>costo netto</t>
  </si>
  <si>
    <t>NB: se ci sono gg. In rosso, non si stanno rispettando i requisiti organizzativi del servizio</t>
  </si>
  <si>
    <t>Eventuali economie in termini percentuali sul costo del personale riscontrate  per effetto dell'aggiudicazione (nel caso di gara già bandita ed aggiudicata)</t>
  </si>
  <si>
    <t>concessione da bandire</t>
  </si>
  <si>
    <t>concessione già aggiudicata</t>
  </si>
  <si>
    <t>Eventuale quota del prezzo della concessione a carico dell'Ente</t>
  </si>
  <si>
    <t>Scheda di intervento
Tipologia 1 - Sostengo diretto alla gestione di strutture e servizi a titolarità pubblica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</si>
  <si>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</si>
  <si>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</si>
  <si>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</si>
  <si>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</si>
  <si>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</si>
  <si>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Utenti attuali</t>
  </si>
  <si>
    <t>Utenti sostenuti dal PAC</t>
  </si>
  <si>
    <t>n. utenti</t>
  </si>
  <si>
    <t>mensilità</t>
  </si>
  <si>
    <t>ore servizio</t>
  </si>
  <si>
    <t>Strutture interessate dall'intervento del Pac</t>
  </si>
  <si>
    <t>Utenti mantenuti PAC</t>
  </si>
  <si>
    <t>utenti</t>
  </si>
  <si>
    <t>Utenti aggiuntivi PAC</t>
  </si>
  <si>
    <t>estensione periodo di servizio PAC</t>
  </si>
  <si>
    <t>estensione orario di servizio PAC</t>
  </si>
  <si>
    <t>utenti attuali
(a.s. 2013/14)</t>
  </si>
  <si>
    <t>Spesa al netto</t>
  </si>
  <si>
    <t>Descrizione del servizio</t>
  </si>
  <si>
    <t>Pubblicazione del bando di gara o equivalente (se pertinente)</t>
  </si>
  <si>
    <t>Stipulazione del contratto di affidamento o equivalente (se pertinente)</t>
  </si>
  <si>
    <t>Avvio servizio</t>
  </si>
  <si>
    <t>data prevista conclusione servizio</t>
  </si>
  <si>
    <t>a.s.  15/16</t>
  </si>
  <si>
    <t>a.s.  16/17</t>
  </si>
  <si>
    <t>Mensilità</t>
  </si>
  <si>
    <t>Costo unitario 
previsto 
per pasto</t>
  </si>
  <si>
    <t>Eventuale quota
del prezzo della 
concessione a 
carico dell'Ente</t>
  </si>
  <si>
    <t>Inserire l'incidenza percentuale del coordinamento (ore coordinamento/ore tot. Servizio)</t>
  </si>
  <si>
    <t>percentuale</t>
  </si>
  <si>
    <t>quantità</t>
  </si>
  <si>
    <t>Tipo Scheda</t>
  </si>
  <si>
    <t>Titolo scheda</t>
  </si>
  <si>
    <t>Tipologia Servizio</t>
  </si>
  <si>
    <t>Risorse PAC</t>
  </si>
  <si>
    <t>2015-2016 - Utenti</t>
  </si>
  <si>
    <t>2015-2016 - Risorse</t>
  </si>
  <si>
    <t>2015/16-UtentiMantenuti</t>
  </si>
  <si>
    <t>2015/16-UtentiAggiuntivi</t>
  </si>
  <si>
    <t>2015/16-UtentiEstensioneOraria</t>
  </si>
  <si>
    <t>2015/16-UtentiEstensionePerioro</t>
  </si>
  <si>
    <t>2016-2017 - Utenti</t>
  </si>
  <si>
    <t>2016-2017 - Risorse</t>
  </si>
  <si>
    <t>2016/17-UtentiMantenuti</t>
  </si>
  <si>
    <t>2016/17-UtentiAggiuntivi</t>
  </si>
  <si>
    <t>2016/17-UtentiEstensioneOraria</t>
  </si>
  <si>
    <t>2016/17-UtentiEstensionePerioro</t>
  </si>
  <si>
    <t>2016/17-RisorseMantenuti</t>
  </si>
  <si>
    <t>2016/17-RisorseAggiuntivi</t>
  </si>
  <si>
    <t>2016/17-RisorseEstensioneOraria</t>
  </si>
  <si>
    <t>2016/17-RisorseEstensionePerioro</t>
  </si>
  <si>
    <t>2015/16-RisorseMantenuti</t>
  </si>
  <si>
    <t>2015/16-RisorseAggiuntivi</t>
  </si>
  <si>
    <t>2015/16-RisorseEstensioneOraria</t>
  </si>
  <si>
    <t>2015/16-RisorseEstensionePerioro</t>
  </si>
  <si>
    <t>Posti utenti</t>
  </si>
  <si>
    <t>Risorse</t>
  </si>
  <si>
    <t>numero</t>
  </si>
  <si>
    <t>n. utenti effettivi per a.s. 2013-2014</t>
  </si>
  <si>
    <t>Tipologia di azione finanziata</t>
  </si>
  <si>
    <t>DATI GENERALI</t>
  </si>
  <si>
    <t>DESCRIZIONE DELL'INTERVENTO DA FINANZIARE</t>
  </si>
  <si>
    <t>ELENCO DELLE STRUTTURE PUBBLICHE NELLE QUALI SI INTENDONO REALIZZARE I SERVIZI FINANZIATI CON IL PAC</t>
  </si>
  <si>
    <t>AZIONI PROGRAMMATE CON LA SCHEDA DI INTERVENTO</t>
  </si>
  <si>
    <t>STRUTTURA DEI COSTI</t>
  </si>
  <si>
    <t>ITER PROCEDURALE E TEMPISTICA</t>
  </si>
  <si>
    <t>Spesa al lordo</t>
  </si>
  <si>
    <t>% educatore d1</t>
  </si>
  <si>
    <t>Orario di apertura settimanale</t>
  </si>
  <si>
    <t>Strutture/servizi finanziati con il PAC</t>
  </si>
  <si>
    <t>Totale al lordo compartecipazione</t>
  </si>
  <si>
    <t>Comune di Milazzo - Capofila del Distretto Socio Sanitario</t>
  </si>
  <si>
    <t>Comune di Gualtieri Sicaminò</t>
  </si>
  <si>
    <t>Comune di San Filippo del Mela</t>
  </si>
  <si>
    <t>Comune di Santa Lucia del Mela</t>
  </si>
  <si>
    <t>Comune di Venetico</t>
  </si>
  <si>
    <t xml:space="preserve">sostegno alla gestione del micro nido a titolarità pubblica </t>
  </si>
  <si>
    <t>Non esiste alcuna regolamentazione di livello distrettuale.</t>
  </si>
  <si>
    <t>Tutti gli Asili Nido del Distretto prevedono una quota di compartecipazione degli utenti che varia in funzione del reddito della famiglia rilevato dall'attestazione ISEE. Sono altresì previste esenzioni per nuclei familiari in condizione di disagio economico.</t>
  </si>
  <si>
    <t>sp009</t>
  </si>
  <si>
    <t>Gualtieri Sicaminò, SanFilippo del Mela, Santa Lucia del Mela  e Venetico</t>
  </si>
  <si>
    <t>La regolazione della compartecipazione dell'utenza viene determinata da ogni Ente annualmente in sede di determinazione delle tariffe dei servizi a domanda individuale.</t>
  </si>
  <si>
    <t>Bueti Domenica</t>
  </si>
  <si>
    <t>0909213259/3343001547</t>
  </si>
  <si>
    <t>protocollogenerale@pec.comune.milazzo.me.it; d.bueti@comune.milazzo.me.it</t>
  </si>
  <si>
    <t xml:space="preserve"> 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t>
  </si>
  <si>
    <t xml:space="preserve">L'intervento si pone come obiettivo quello di mantenere i livelli di sevizio per l'intero anno pedagogico 2020/2021 nei nidi e micronidi dei Comuni oggetto della presente scheda di intervento , così come programmati con il precedente finanziamento PAC. Si precisa,  che  per il Comune di Gualtieri Sicaminò, con il finanziamento PAC si potenzia il servizio di n° 15 utenti ; per quanto attiene l'intervento al Comune di Venetico dotato di micro-nido per 15 utenti, non presente nella progettazione di cui al primo riparto, ha in carico 8 bambini e con il sostegno PAC. si elide la lista d'attesa con l'ammissione di ulteriori 7 utenti. Per il Comune di S. Filippo del Mela con capienza autorizzata di 36 bambini ed una presenza attuale di 36 utenti, riportato alla capienza massima grazie all'intervento del Pac , si mantengono i livelli di servizio.  Per l'Asilo Nido di S. Lucia del Mela l'intervento qui proposto è assolutamente identico a quello di cui al primo riparto ed ha come obiettivo di incrementare gli utenti di 8,aumentando il numero degli ammessi al servizio da 12 a 20 utenti. Sostanzialmente tutti gli interventi proposti prevedono l'impiego di personale a completamento degli operatori già in servizio in ciascun Ente, nel rispetto della capienza massima prevista per ogni singola struttura e degli standard determinati dalla normativa regionale, eliminando le liste di attesa. Il reperimento di detto personale  avverrà mediante affidamento diretto secondo quanto previsto dal D.L. 11 settembre 2020 n. 120 di Conversione in legge, con modificazioni, del decreto-legge 16 luglio 2010, n. 76, recante «Misure urgenti per la semplificazione e l’innovazione digitali» (Decreto Semplificazioni), che deroga l'art.36 comma 2 lett. a) del Codice dei Contratti. Per quanto attiene il servizio mensa per tutti gli utenti è garantito con la scheda intervento già appaltata ed avviata con conlcusione prevista a giugno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</si>
</sst>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00;[Red]\-&quot;€&quot;\ #,##0.00"/>
    <numFmt numFmtId="165" formatCode="_-&quot;€&quot;\ * #,##0.00_-;\-&quot;€&quot;\ * #,##0.00_-;_-&quot;€&quot;\ * &quot;-&quot;??_-;_-@_-"/>
    <numFmt numFmtId="166" formatCode="#,##0.0000"/>
    <numFmt numFmtId="167" formatCode="0.00\ &quot;ore/sett/utente&quot;"/>
    <numFmt numFmtId="168" formatCode="0.00\ &quot;mesi di servizio&quot;"/>
    <numFmt numFmtId="169" formatCode="0\ &quot;ore di cordinamento&quot;"/>
    <numFmt numFmtId="170" formatCode="0.000"/>
    <numFmt numFmtId="171" formatCode="0\ &quot;gg&quot;"/>
    <numFmt numFmtId="172" formatCode="0\ &quot;hh&quot;"/>
    <numFmt numFmtId="173" formatCode="&quot;max &quot;0\ &quot;mesi&quot;"/>
    <numFmt numFmtId="174" formatCode="mmm\-yyyy"/>
  </numFmts>
  <fonts count="20"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sz val="11"/>
      <color indexed="8"/>
      <name val="Calibri"/>
      <family val="2"/>
    </font>
    <font>
      <sz val="11"/>
      <color indexed="10"/>
      <name val="Calibri"/>
      <family val="2"/>
    </font>
    <font>
      <b/>
      <sz val="11"/>
      <color indexed="8"/>
      <name val="Calibri"/>
      <family val="2"/>
    </font>
    <font>
      <i/>
      <sz val="11"/>
      <color indexed="8"/>
      <name val="Calibri"/>
      <family val="2"/>
    </font>
    <font>
      <strike/>
      <sz val="11"/>
      <color indexed="8"/>
      <name val="Calibri"/>
      <family val="2"/>
    </font>
    <font>
      <strike/>
      <sz val="11"/>
      <color indexed="10"/>
      <name val="Calibri"/>
      <family val="2"/>
    </font>
    <font>
      <b/>
      <i/>
      <sz val="11"/>
      <color indexed="8"/>
      <name val="Calibri"/>
      <family val="2"/>
    </font>
    <font>
      <b/>
      <strike/>
      <sz val="11"/>
      <color indexed="8"/>
      <name val="Calibri"/>
      <family val="2"/>
    </font>
    <font>
      <b/>
      <sz val="11"/>
      <color indexed="10"/>
      <name val="Calibri"/>
      <family val="2"/>
    </font>
    <font>
      <b/>
      <sz val="11"/>
      <color theme="1"/>
      <name val="Calibri"/>
      <family val="2"/>
      <scheme val="minor"/>
    </font>
  </fonts>
  <fills count="12">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B0F0"/>
        <bgColor indexed="64"/>
      </patternFill>
    </fill>
  </fills>
  <borders count="50">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applyNumberFormat="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4" fillId="0" borderId="0" applyNumberFormat="0" applyFont="0" applyFill="0" applyBorder="0" applyAlignment="0" applyProtection="0"/>
  </cellStyleXfs>
  <cellXfs count="369">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7" fillId="0" borderId="1" xfId="0" applyFont="1" applyBorder="1"/>
    <xf numFmtId="4" fontId="7" fillId="3" borderId="7" xfId="2" applyNumberFormat="1" applyFont="1" applyFill="1" applyBorder="1"/>
    <xf numFmtId="4" fontId="7" fillId="0" borderId="7" xfId="2" applyNumberFormat="1" applyFont="1" applyBorder="1"/>
    <xf numFmtId="166" fontId="0" fillId="0" borderId="0" xfId="0" applyNumberFormat="1"/>
    <xf numFmtId="0" fontId="7"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8" fillId="0" borderId="7" xfId="4"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8" fillId="0" borderId="18" xfId="4"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7" fillId="0" borderId="22" xfId="0" applyFont="1" applyBorder="1"/>
    <xf numFmtId="4" fontId="9" fillId="0" borderId="23" xfId="4" applyNumberFormat="1" applyFont="1" applyBorder="1" applyAlignment="1">
      <alignment horizontal="left" vertical="top"/>
    </xf>
    <xf numFmtId="4" fontId="7" fillId="0" borderId="23" xfId="0" applyNumberFormat="1" applyFont="1" applyBorder="1"/>
    <xf numFmtId="4" fontId="7" fillId="0" borderId="24" xfId="0" applyNumberFormat="1" applyFont="1" applyBorder="1"/>
    <xf numFmtId="4" fontId="7" fillId="0" borderId="25" xfId="0" applyNumberFormat="1" applyFont="1" applyBorder="1"/>
    <xf numFmtId="4" fontId="7" fillId="0" borderId="22" xfId="0" applyNumberFormat="1" applyFont="1" applyBorder="1"/>
    <xf numFmtId="4" fontId="7" fillId="0" borderId="26" xfId="0" applyNumberFormat="1" applyFont="1" applyBorder="1"/>
    <xf numFmtId="0" fontId="0" fillId="0" borderId="6" xfId="0" applyFont="1" applyBorder="1"/>
    <xf numFmtId="4" fontId="8" fillId="0" borderId="27" xfId="4"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8" fillId="0" borderId="14" xfId="4"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8" fillId="0" borderId="4" xfId="4" applyNumberFormat="1" applyFont="1" applyBorder="1" applyAlignment="1">
      <alignment horizontal="left" vertical="top"/>
    </xf>
    <xf numFmtId="4" fontId="8" fillId="0" borderId="21" xfId="4" applyNumberFormat="1" applyFont="1" applyBorder="1" applyAlignment="1">
      <alignment horizontal="left" vertical="top"/>
    </xf>
    <xf numFmtId="4" fontId="9" fillId="0" borderId="26" xfId="4" applyNumberFormat="1" applyFont="1" applyBorder="1" applyAlignment="1">
      <alignment horizontal="left" vertical="top"/>
    </xf>
    <xf numFmtId="4" fontId="8" fillId="0" borderId="30" xfId="4" applyNumberFormat="1" applyFont="1" applyBorder="1" applyAlignment="1">
      <alignment horizontal="left" vertical="top"/>
    </xf>
    <xf numFmtId="4" fontId="8" fillId="0" borderId="13" xfId="4" applyNumberFormat="1" applyFont="1" applyBorder="1" applyAlignment="1">
      <alignment horizontal="left" vertical="top"/>
    </xf>
    <xf numFmtId="164"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7" fillId="0" borderId="0" xfId="0" applyFont="1" applyAlignment="1">
      <alignment vertical="top"/>
    </xf>
    <xf numFmtId="0" fontId="0" fillId="0" borderId="0" xfId="0" applyBorder="1" applyAlignment="1">
      <alignment vertical="top"/>
    </xf>
    <xf numFmtId="167" fontId="0" fillId="0" borderId="0" xfId="0" applyNumberFormat="1" applyBorder="1" applyAlignment="1">
      <alignment vertical="top"/>
    </xf>
    <xf numFmtId="10" fontId="0" fillId="5" borderId="0" xfId="0" applyNumberFormat="1" applyFill="1" applyAlignment="1">
      <alignment vertical="top"/>
    </xf>
    <xf numFmtId="0" fontId="7"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7"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7" fillId="0" borderId="7" xfId="0" applyNumberFormat="1" applyFont="1" applyBorder="1" applyAlignment="1">
      <alignment vertical="top"/>
    </xf>
    <xf numFmtId="164" fontId="7" fillId="0" borderId="0" xfId="0" applyNumberFormat="1" applyFont="1" applyBorder="1" applyAlignment="1">
      <alignment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6" fillId="0" borderId="0" xfId="0" applyFont="1" applyAlignment="1">
      <alignment horizontal="center"/>
    </xf>
    <xf numFmtId="0" fontId="0" fillId="0" borderId="0" xfId="0" applyAlignment="1">
      <alignment vertical="top" wrapText="1"/>
    </xf>
    <xf numFmtId="0" fontId="7" fillId="0" borderId="0" xfId="0" applyFont="1" applyAlignment="1">
      <alignment vertical="top" wrapText="1"/>
    </xf>
    <xf numFmtId="0" fontId="0" fillId="0" borderId="3" xfId="0" applyBorder="1" applyAlignment="1">
      <alignment horizontal="left"/>
    </xf>
    <xf numFmtId="0" fontId="0" fillId="0" borderId="0" xfId="0" applyBorder="1"/>
    <xf numFmtId="0" fontId="0" fillId="0" borderId="0" xfId="0" applyBorder="1" applyAlignment="1">
      <alignment horizontal="left"/>
    </xf>
    <xf numFmtId="169" fontId="0" fillId="6" borderId="4" xfId="0" applyNumberFormat="1" applyFill="1" applyBorder="1" applyAlignment="1">
      <alignment vertical="top"/>
    </xf>
    <xf numFmtId="0" fontId="11" fillId="0" borderId="7" xfId="0" applyFont="1" applyBorder="1" applyAlignment="1">
      <alignment vertical="top" wrapText="1"/>
    </xf>
    <xf numFmtId="0" fontId="12" fillId="5" borderId="0" xfId="0" applyFont="1" applyFill="1" applyAlignment="1">
      <alignment vertical="top" wrapText="1"/>
    </xf>
    <xf numFmtId="0" fontId="12" fillId="5" borderId="7" xfId="0" applyFont="1" applyFill="1" applyBorder="1" applyAlignment="1">
      <alignment vertical="top" wrapText="1"/>
    </xf>
    <xf numFmtId="4" fontId="0" fillId="5" borderId="7" xfId="0" applyNumberFormat="1" applyFill="1" applyBorder="1" applyAlignment="1">
      <alignment vertical="top"/>
    </xf>
    <xf numFmtId="0" fontId="0" fillId="5" borderId="7" xfId="0" applyFill="1" applyBorder="1" applyAlignment="1">
      <alignment vertical="top"/>
    </xf>
    <xf numFmtId="9" fontId="0" fillId="5"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0" fillId="0" borderId="33" xfId="0" applyBorder="1" applyAlignment="1">
      <alignment vertical="top"/>
    </xf>
    <xf numFmtId="0" fontId="13" fillId="0" borderId="0" xfId="0" applyFont="1" applyBorder="1" applyAlignment="1">
      <alignment vertical="top"/>
    </xf>
    <xf numFmtId="0" fontId="13" fillId="0" borderId="34" xfId="0" applyFont="1" applyBorder="1" applyAlignment="1">
      <alignment vertical="top"/>
    </xf>
    <xf numFmtId="0" fontId="0" fillId="0" borderId="35" xfId="0" applyBorder="1" applyAlignment="1">
      <alignment vertical="top"/>
    </xf>
    <xf numFmtId="0" fontId="0" fillId="0" borderId="16" xfId="0" applyBorder="1" applyAlignment="1">
      <alignment vertical="top"/>
    </xf>
    <xf numFmtId="0" fontId="0" fillId="0" borderId="36" xfId="0" applyBorder="1" applyAlignment="1">
      <alignment vertical="top"/>
    </xf>
    <xf numFmtId="170" fontId="0" fillId="5" borderId="7" xfId="0" applyNumberFormat="1" applyFill="1" applyBorder="1" applyAlignment="1">
      <alignment vertical="top"/>
    </xf>
    <xf numFmtId="0" fontId="0" fillId="0" borderId="2" xfId="0" applyBorder="1" applyAlignment="1">
      <alignment vertical="top"/>
    </xf>
    <xf numFmtId="0" fontId="0" fillId="0" borderId="5" xfId="0" applyBorder="1" applyAlignment="1">
      <alignment vertical="top"/>
    </xf>
    <xf numFmtId="4" fontId="0" fillId="6" borderId="1" xfId="0" applyNumberForma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164" fontId="0" fillId="0" borderId="0" xfId="0" applyNumberFormat="1" applyAlignment="1">
      <alignment horizontal="left"/>
    </xf>
    <xf numFmtId="0" fontId="0" fillId="0" borderId="0" xfId="0" applyAlignment="1">
      <alignment horizontal="left"/>
    </xf>
    <xf numFmtId="0" fontId="11" fillId="0" borderId="4" xfId="0" applyFont="1" applyBorder="1" applyAlignment="1">
      <alignment vertical="top" wrapText="1"/>
    </xf>
    <xf numFmtId="171" fontId="0" fillId="5" borderId="7" xfId="0" applyNumberFormat="1" applyFill="1" applyBorder="1" applyAlignment="1">
      <alignment vertical="top"/>
    </xf>
    <xf numFmtId="172" fontId="0" fillId="5" borderId="7" xfId="0" applyNumberFormat="1" applyFill="1" applyBorder="1" applyAlignment="1">
      <alignment vertical="top"/>
    </xf>
    <xf numFmtId="0" fontId="7" fillId="0" borderId="37" xfId="0" applyFont="1" applyBorder="1" applyAlignment="1">
      <alignment horizontal="center" vertical="top"/>
    </xf>
    <xf numFmtId="0" fontId="7" fillId="0" borderId="16" xfId="0" applyFont="1" applyBorder="1" applyAlignment="1">
      <alignment horizontal="center" vertical="top"/>
    </xf>
    <xf numFmtId="173" fontId="12" fillId="0" borderId="35" xfId="0" applyNumberFormat="1" applyFont="1" applyBorder="1" applyAlignment="1">
      <alignment horizontal="center" vertical="top"/>
    </xf>
    <xf numFmtId="173" fontId="12" fillId="0" borderId="16" xfId="0" applyNumberFormat="1" applyFont="1" applyBorder="1" applyAlignment="1">
      <alignment horizontal="center" vertical="top"/>
    </xf>
    <xf numFmtId="173" fontId="12" fillId="0" borderId="7" xfId="0" applyNumberFormat="1" applyFont="1" applyBorder="1" applyAlignment="1">
      <alignment horizontal="center" vertical="top"/>
    </xf>
    <xf numFmtId="164" fontId="0" fillId="0" borderId="0" xfId="0" applyNumberFormat="1" applyAlignment="1">
      <alignment vertical="top"/>
    </xf>
    <xf numFmtId="164" fontId="12" fillId="0" borderId="7" xfId="0" applyNumberFormat="1" applyFont="1" applyBorder="1" applyAlignment="1">
      <alignment vertical="top"/>
    </xf>
    <xf numFmtId="0" fontId="12" fillId="5" borderId="0" xfId="0" applyFont="1" applyFill="1" applyAlignment="1">
      <alignment vertical="top"/>
    </xf>
    <xf numFmtId="164" fontId="12" fillId="0" borderId="0" xfId="0" applyNumberFormat="1" applyFont="1" applyBorder="1" applyAlignment="1">
      <alignment vertical="top"/>
    </xf>
    <xf numFmtId="0" fontId="14" fillId="0" borderId="7" xfId="0" applyFont="1" applyBorder="1" applyAlignment="1">
      <alignment vertical="top" wrapText="1"/>
    </xf>
    <xf numFmtId="0" fontId="15" fillId="0" borderId="7" xfId="0" applyFont="1" applyBorder="1" applyAlignment="1">
      <alignment vertical="top" wrapText="1"/>
    </xf>
    <xf numFmtId="0" fontId="1" fillId="0" borderId="7" xfId="0" applyFont="1" applyBorder="1" applyAlignment="1">
      <alignment vertical="top"/>
    </xf>
    <xf numFmtId="164" fontId="1" fillId="0" borderId="7" xfId="0" applyNumberFormat="1" applyFont="1" applyBorder="1" applyAlignment="1">
      <alignment vertical="top"/>
    </xf>
    <xf numFmtId="0" fontId="0" fillId="0" borderId="0" xfId="0" applyAlignment="1">
      <alignment horizontal="left" vertical="top" wrapText="1"/>
    </xf>
    <xf numFmtId="0" fontId="13" fillId="0" borderId="0" xfId="0" applyFont="1"/>
    <xf numFmtId="4" fontId="0" fillId="0" borderId="0" xfId="0" applyNumberFormat="1" applyBorder="1" applyAlignment="1">
      <alignment horizontal="left"/>
    </xf>
    <xf numFmtId="0" fontId="0" fillId="0" borderId="0" xfId="0" applyBorder="1" applyAlignment="1"/>
    <xf numFmtId="0" fontId="12" fillId="0" borderId="0" xfId="0" applyFont="1" applyBorder="1" applyAlignment="1">
      <alignment horizontal="center" vertical="center"/>
    </xf>
    <xf numFmtId="0" fontId="13" fillId="0" borderId="0" xfId="0" applyFont="1" applyBorder="1" applyAlignment="1">
      <alignment horizontal="center"/>
    </xf>
    <xf numFmtId="164" fontId="0" fillId="0" borderId="35" xfId="0" applyNumberFormat="1" applyFill="1" applyBorder="1" applyAlignment="1">
      <alignment vertical="top"/>
    </xf>
    <xf numFmtId="164" fontId="0" fillId="0" borderId="36" xfId="0" applyNumberFormat="1" applyFill="1" applyBorder="1" applyAlignment="1">
      <alignment vertical="top"/>
    </xf>
    <xf numFmtId="168" fontId="0" fillId="0" borderId="3" xfId="0" applyNumberFormat="1" applyBorder="1" applyAlignment="1">
      <alignment vertical="top"/>
    </xf>
    <xf numFmtId="164" fontId="0" fillId="0" borderId="5" xfId="0" applyNumberFormat="1" applyFill="1" applyBorder="1" applyAlignment="1">
      <alignment vertical="top"/>
    </xf>
    <xf numFmtId="164" fontId="0" fillId="0" borderId="38" xfId="0" applyNumberFormat="1" applyFill="1" applyBorder="1" applyAlignment="1">
      <alignment vertical="top"/>
    </xf>
    <xf numFmtId="164" fontId="12" fillId="0" borderId="0" xfId="0" applyNumberFormat="1" applyFont="1" applyAlignment="1">
      <alignment vertical="top"/>
    </xf>
    <xf numFmtId="0" fontId="0" fillId="0" borderId="7" xfId="0" applyBorder="1" applyAlignment="1"/>
    <xf numFmtId="0" fontId="0" fillId="0" borderId="7" xfId="0" applyBorder="1" applyAlignment="1">
      <alignment wrapText="1"/>
    </xf>
    <xf numFmtId="0" fontId="0" fillId="0" borderId="0" xfId="0" applyFill="1" applyAlignment="1">
      <alignment horizontal="center"/>
    </xf>
    <xf numFmtId="0" fontId="0" fillId="0" borderId="7" xfId="0" applyBorder="1"/>
    <xf numFmtId="0" fontId="0" fillId="0" borderId="1" xfId="0" applyBorder="1"/>
    <xf numFmtId="0" fontId="0" fillId="0" borderId="35" xfId="0" applyBorder="1"/>
    <xf numFmtId="0" fontId="0" fillId="0" borderId="16" xfId="0" applyBorder="1"/>
    <xf numFmtId="0" fontId="18" fillId="0" borderId="0" xfId="0" applyFont="1" applyAlignment="1">
      <alignment horizontal="center"/>
    </xf>
    <xf numFmtId="0" fontId="0" fillId="0" borderId="0" xfId="0" applyAlignment="1">
      <alignment horizontal="left" vertical="top" wrapText="1"/>
    </xf>
    <xf numFmtId="0" fontId="19" fillId="0" borderId="0" xfId="0" applyFont="1" applyAlignment="1">
      <alignment vertical="top"/>
    </xf>
    <xf numFmtId="0" fontId="19" fillId="0" borderId="7" xfId="0" applyFont="1" applyBorder="1" applyAlignment="1">
      <alignment vertical="top"/>
    </xf>
    <xf numFmtId="0" fontId="19" fillId="0" borderId="7" xfId="0" applyFont="1" applyBorder="1" applyAlignment="1"/>
    <xf numFmtId="0" fontId="7" fillId="5" borderId="7" xfId="0" applyFont="1" applyFill="1" applyBorder="1" applyAlignment="1">
      <alignment vertical="top" wrapText="1"/>
    </xf>
    <xf numFmtId="0" fontId="0" fillId="7" borderId="4"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0" borderId="5" xfId="0" applyFill="1" applyBorder="1" applyAlignment="1" applyProtection="1">
      <alignment vertical="top"/>
      <protection locked="0"/>
    </xf>
    <xf numFmtId="0" fontId="0" fillId="0" borderId="38" xfId="0" applyFill="1" applyBorder="1" applyAlignment="1" applyProtection="1">
      <alignment vertical="top"/>
      <protection locked="0"/>
    </xf>
    <xf numFmtId="0" fontId="0" fillId="0" borderId="7" xfId="0" applyFill="1" applyBorder="1" applyAlignment="1" applyProtection="1">
      <alignment vertical="top"/>
      <protection locked="0"/>
    </xf>
    <xf numFmtId="0" fontId="0" fillId="8" borderId="7"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39" xfId="0" applyFill="1" applyBorder="1" applyAlignment="1" applyProtection="1">
      <alignment vertical="top"/>
      <protection locked="0"/>
    </xf>
    <xf numFmtId="0" fontId="0" fillId="8" borderId="40" xfId="0"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41" xfId="0" applyFill="1" applyBorder="1" applyAlignment="1" applyProtection="1">
      <alignment vertical="top"/>
      <protection locked="0"/>
    </xf>
    <xf numFmtId="164" fontId="0" fillId="0" borderId="7" xfId="0" applyNumberFormat="1" applyFill="1" applyBorder="1" applyAlignment="1" applyProtection="1">
      <alignment vertical="top"/>
      <protection locked="0"/>
    </xf>
    <xf numFmtId="164" fontId="14" fillId="0" borderId="5" xfId="0" applyNumberFormat="1" applyFont="1" applyFill="1" applyBorder="1" applyAlignment="1" applyProtection="1">
      <alignment vertical="top"/>
      <protection locked="0"/>
    </xf>
    <xf numFmtId="164" fontId="14" fillId="0" borderId="38" xfId="0" applyNumberFormat="1" applyFont="1" applyFill="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7"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14" fillId="7" borderId="7" xfId="0" applyNumberFormat="1" applyFont="1" applyFill="1" applyBorder="1" applyAlignment="1" applyProtection="1">
      <alignment vertical="top"/>
      <protection locked="0"/>
    </xf>
    <xf numFmtId="9" fontId="0" fillId="7" borderId="4" xfId="0" applyNumberFormat="1" applyFill="1" applyBorder="1" applyAlignment="1" applyProtection="1">
      <alignment vertical="top"/>
      <protection locked="0"/>
    </xf>
    <xf numFmtId="168" fontId="0" fillId="0" borderId="35" xfId="0" applyNumberFormat="1" applyFill="1" applyBorder="1" applyAlignment="1" applyProtection="1">
      <alignment vertical="top"/>
      <protection locked="0"/>
    </xf>
    <xf numFmtId="168" fontId="0" fillId="0" borderId="7" xfId="0" applyNumberFormat="1" applyFill="1" applyBorder="1" applyAlignment="1" applyProtection="1">
      <alignment vertical="top"/>
      <protection locked="0"/>
    </xf>
    <xf numFmtId="168" fontId="0" fillId="0" borderId="16" xfId="0" applyNumberFormat="1" applyFill="1" applyBorder="1" applyAlignment="1" applyProtection="1">
      <alignment vertical="top"/>
      <protection locked="0"/>
    </xf>
    <xf numFmtId="168" fontId="0" fillId="0" borderId="36" xfId="0" applyNumberFormat="1" applyFill="1" applyBorder="1" applyAlignment="1" applyProtection="1">
      <alignment vertical="top"/>
      <protection locked="0"/>
    </xf>
    <xf numFmtId="168" fontId="0" fillId="0" borderId="39" xfId="0" applyNumberFormat="1" applyFill="1" applyBorder="1" applyAlignment="1" applyProtection="1">
      <alignment vertical="top"/>
      <protection locked="0"/>
    </xf>
    <xf numFmtId="168" fontId="0" fillId="0" borderId="40" xfId="0" applyNumberFormat="1" applyFill="1" applyBorder="1" applyAlignment="1" applyProtection="1">
      <alignment vertical="top"/>
      <protection locked="0"/>
    </xf>
    <xf numFmtId="0" fontId="7" fillId="0" borderId="0" xfId="0" applyFont="1" applyBorder="1" applyAlignment="1">
      <alignment horizontal="center" vertical="top"/>
    </xf>
    <xf numFmtId="164" fontId="0" fillId="0" borderId="0" xfId="0" applyNumberFormat="1" applyBorder="1" applyAlignment="1">
      <alignment vertical="top"/>
    </xf>
    <xf numFmtId="164" fontId="1" fillId="0" borderId="0" xfId="0" applyNumberFormat="1" applyFont="1" applyBorder="1" applyAlignment="1">
      <alignment vertical="top"/>
    </xf>
    <xf numFmtId="0" fontId="0" fillId="9" borderId="7" xfId="0" applyFill="1" applyBorder="1"/>
    <xf numFmtId="0" fontId="0" fillId="9" borderId="1" xfId="0" applyFill="1" applyBorder="1"/>
    <xf numFmtId="0" fontId="0" fillId="9" borderId="36" xfId="0" applyFill="1" applyBorder="1"/>
    <xf numFmtId="0" fontId="0" fillId="9" borderId="39" xfId="0" applyFill="1" applyBorder="1"/>
    <xf numFmtId="0" fontId="0" fillId="9" borderId="40" xfId="0" applyFill="1" applyBorder="1"/>
    <xf numFmtId="164" fontId="0" fillId="9" borderId="36" xfId="0" applyNumberFormat="1" applyFill="1" applyBorder="1"/>
    <xf numFmtId="164" fontId="0" fillId="9" borderId="39" xfId="0" applyNumberFormat="1" applyFill="1" applyBorder="1"/>
    <xf numFmtId="164" fontId="0" fillId="9" borderId="40" xfId="0" applyNumberFormat="1" applyFill="1" applyBorder="1"/>
    <xf numFmtId="0" fontId="12" fillId="0" borderId="3" xfId="0" applyFont="1" applyBorder="1" applyAlignment="1">
      <alignment horizontal="center" vertical="top" wrapText="1"/>
    </xf>
    <xf numFmtId="0" fontId="12" fillId="0" borderId="7" xfId="0" applyFont="1" applyBorder="1" applyAlignment="1">
      <alignment vertical="top" wrapText="1"/>
    </xf>
    <xf numFmtId="0" fontId="19" fillId="0" borderId="2" xfId="0" applyFont="1" applyBorder="1" applyAlignment="1">
      <alignment horizontal="center" vertical="top"/>
    </xf>
    <xf numFmtId="0" fontId="19" fillId="0" borderId="7" xfId="0" applyFont="1" applyBorder="1" applyAlignment="1">
      <alignment horizontal="center" vertical="top" wrapText="1"/>
    </xf>
    <xf numFmtId="164" fontId="0" fillId="0" borderId="16" xfId="0" applyNumberFormat="1" applyFill="1" applyBorder="1" applyAlignment="1" applyProtection="1">
      <alignment vertical="top"/>
      <protection locked="0"/>
    </xf>
    <xf numFmtId="164" fontId="0" fillId="0" borderId="40" xfId="0" applyNumberFormat="1" applyFill="1" applyBorder="1" applyAlignment="1" applyProtection="1">
      <alignment vertical="top"/>
      <protection locked="0"/>
    </xf>
    <xf numFmtId="0" fontId="0" fillId="0" borderId="7" xfId="0" applyBorder="1" applyAlignment="1">
      <alignment horizontal="center" vertical="top" wrapText="1"/>
    </xf>
    <xf numFmtId="0" fontId="0" fillId="0" borderId="1" xfId="0" applyBorder="1" applyAlignment="1">
      <alignment horizontal="center" vertical="top" wrapText="1"/>
    </xf>
    <xf numFmtId="0" fontId="12" fillId="0" borderId="35"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0" fillId="0" borderId="35"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0" fillId="7" borderId="5" xfId="0" applyFill="1" applyBorder="1" applyAlignment="1" applyProtection="1">
      <alignment vertical="top" wrapText="1"/>
      <protection locked="0"/>
    </xf>
    <xf numFmtId="0" fontId="0" fillId="7" borderId="38" xfId="0" applyFill="1" applyBorder="1" applyAlignment="1" applyProtection="1">
      <alignment vertical="top" wrapText="1"/>
      <protection locked="0"/>
    </xf>
    <xf numFmtId="0" fontId="0" fillId="6" borderId="7" xfId="0" applyFill="1" applyBorder="1" applyAlignment="1">
      <alignment vertical="top" wrapText="1"/>
    </xf>
    <xf numFmtId="0" fontId="0" fillId="10" borderId="0" xfId="0" applyFill="1" applyAlignment="1">
      <alignment vertical="top"/>
    </xf>
    <xf numFmtId="0" fontId="12" fillId="10" borderId="0" xfId="0" applyFont="1" applyFill="1" applyAlignment="1">
      <alignment vertical="top" wrapText="1"/>
    </xf>
    <xf numFmtId="0" fontId="0" fillId="10" borderId="0" xfId="0" applyFill="1" applyAlignment="1">
      <alignment vertical="top" wrapText="1"/>
    </xf>
    <xf numFmtId="0" fontId="7" fillId="10" borderId="0" xfId="0" applyFont="1" applyFill="1" applyAlignment="1">
      <alignment vertical="top" wrapText="1"/>
    </xf>
    <xf numFmtId="0" fontId="19" fillId="10" borderId="0" xfId="0" applyFont="1" applyFill="1" applyAlignment="1">
      <alignment vertical="top" wrapText="1"/>
    </xf>
    <xf numFmtId="0" fontId="0" fillId="10" borderId="0" xfId="0" applyFill="1" applyAlignment="1">
      <alignment horizontal="center" vertical="center" wrapText="1"/>
    </xf>
    <xf numFmtId="0" fontId="0" fillId="10" borderId="0" xfId="0" applyFill="1" applyAlignment="1">
      <alignment wrapText="1"/>
    </xf>
    <xf numFmtId="0" fontId="0" fillId="10" borderId="0" xfId="0" applyFill="1" applyBorder="1" applyAlignment="1">
      <alignment wrapText="1"/>
    </xf>
    <xf numFmtId="174" fontId="0" fillId="7" borderId="7" xfId="0" applyNumberFormat="1" applyFill="1" applyBorder="1" applyAlignment="1" applyProtection="1">
      <protection locked="0"/>
    </xf>
    <xf numFmtId="0" fontId="0" fillId="11" borderId="16" xfId="0" applyFill="1" applyBorder="1" applyAlignment="1">
      <alignment vertical="top"/>
    </xf>
    <xf numFmtId="0" fontId="0" fillId="11" borderId="35" xfId="0" applyFill="1" applyBorder="1" applyAlignment="1">
      <alignment vertical="top"/>
    </xf>
    <xf numFmtId="0" fontId="0" fillId="7" borderId="5" xfId="0" applyFill="1" applyBorder="1" applyAlignment="1" applyProtection="1">
      <alignment vertical="top" wrapText="1"/>
    </xf>
    <xf numFmtId="0" fontId="0" fillId="0" borderId="5" xfId="0" applyFill="1" applyBorder="1" applyAlignment="1" applyProtection="1">
      <alignment vertical="top" wrapText="1"/>
    </xf>
    <xf numFmtId="0" fontId="0" fillId="0" borderId="35" xfId="0" applyFill="1" applyBorder="1" applyAlignment="1" applyProtection="1">
      <alignment vertical="top"/>
    </xf>
    <xf numFmtId="0" fontId="0" fillId="0" borderId="7" xfId="0" applyFill="1" applyBorder="1" applyAlignment="1" applyProtection="1">
      <alignment vertical="top"/>
    </xf>
    <xf numFmtId="0" fontId="0" fillId="7" borderId="38" xfId="0" applyFill="1" applyBorder="1" applyAlignment="1" applyProtection="1">
      <alignment vertical="top" wrapText="1"/>
    </xf>
    <xf numFmtId="0" fontId="0" fillId="0" borderId="38" xfId="0" applyFill="1" applyBorder="1" applyAlignment="1" applyProtection="1">
      <alignment vertical="top" wrapText="1"/>
    </xf>
    <xf numFmtId="0" fontId="0" fillId="0" borderId="36" xfId="0" applyFill="1" applyBorder="1" applyAlignment="1" applyProtection="1">
      <alignment vertical="top"/>
    </xf>
    <xf numFmtId="0" fontId="0" fillId="0" borderId="39" xfId="0" applyFill="1" applyBorder="1" applyAlignment="1" applyProtection="1">
      <alignment vertical="top"/>
    </xf>
    <xf numFmtId="0" fontId="0" fillId="11" borderId="16" xfId="0" applyFill="1" applyBorder="1" applyAlignment="1" applyProtection="1">
      <alignment vertical="top"/>
    </xf>
    <xf numFmtId="0" fontId="0" fillId="0" borderId="16" xfId="0" applyFill="1" applyBorder="1" applyAlignment="1" applyProtection="1">
      <alignment vertical="top"/>
    </xf>
    <xf numFmtId="0" fontId="0" fillId="0" borderId="1" xfId="0" applyFill="1" applyBorder="1" applyAlignment="1" applyProtection="1">
      <alignment vertical="top"/>
    </xf>
    <xf numFmtId="0" fontId="0" fillId="0" borderId="41" xfId="0" applyFill="1" applyBorder="1" applyAlignment="1" applyProtection="1">
      <alignment vertical="top"/>
    </xf>
    <xf numFmtId="0" fontId="0" fillId="7" borderId="7" xfId="0" applyFill="1" applyBorder="1" applyAlignment="1" applyProtection="1">
      <alignment vertical="top" wrapText="1"/>
      <protection locked="0"/>
    </xf>
    <xf numFmtId="0" fontId="19" fillId="0" borderId="4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2" fillId="0" borderId="42"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0" fillId="7" borderId="7" xfId="0" applyFill="1" applyBorder="1" applyAlignment="1" applyProtection="1">
      <alignment horizontal="left" vertical="top" wrapText="1"/>
      <protection locked="0"/>
    </xf>
    <xf numFmtId="0" fontId="0" fillId="0" borderId="0" xfId="0" applyAlignment="1">
      <alignment horizontal="left" vertical="top" wrapText="1"/>
    </xf>
    <xf numFmtId="0" fontId="19" fillId="0" borderId="11" xfId="0" applyFont="1" applyBorder="1" applyAlignment="1">
      <alignment horizontal="center" vertical="top"/>
    </xf>
    <xf numFmtId="0" fontId="0" fillId="0" borderId="1" xfId="0" applyBorder="1" applyAlignment="1">
      <alignment horizontal="left"/>
    </xf>
    <xf numFmtId="0" fontId="0" fillId="0" borderId="4" xfId="0" applyBorder="1" applyAlignment="1">
      <alignment horizontal="left"/>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12" fillId="0" borderId="45" xfId="0" applyFont="1" applyBorder="1" applyAlignment="1">
      <alignment horizontal="center" vertical="top"/>
    </xf>
    <xf numFmtId="0" fontId="0" fillId="0" borderId="46" xfId="0" applyBorder="1" applyAlignment="1">
      <alignment horizontal="center" vertical="top" wrapText="1"/>
    </xf>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164" fontId="13" fillId="0" borderId="1" xfId="0" applyNumberFormat="1" applyFont="1" applyBorder="1" applyAlignment="1">
      <alignment horizontal="center"/>
    </xf>
    <xf numFmtId="164" fontId="13" fillId="0" borderId="4" xfId="0" applyNumberFormat="1"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xf>
    <xf numFmtId="4" fontId="7" fillId="0" borderId="7" xfId="0" applyNumberFormat="1" applyFont="1" applyBorder="1" applyAlignment="1">
      <alignment horizontal="center"/>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4" fontId="0" fillId="0" borderId="7" xfId="0" applyNumberForma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6" fillId="0" borderId="1" xfId="0" applyFont="1" applyFill="1" applyBorder="1" applyAlignment="1">
      <alignment horizontal="center"/>
    </xf>
    <xf numFmtId="0" fontId="16" fillId="0" borderId="4" xfId="0" applyFont="1" applyFill="1" applyBorder="1" applyAlignment="1">
      <alignment horizontal="center"/>
    </xf>
    <xf numFmtId="0" fontId="16" fillId="0" borderId="3" xfId="0" applyFont="1" applyBorder="1" applyAlignment="1">
      <alignment horizontal="center"/>
    </xf>
    <xf numFmtId="0" fontId="12" fillId="0" borderId="7" xfId="0" applyFont="1" applyBorder="1" applyAlignment="1">
      <alignment horizont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4" fontId="13" fillId="0" borderId="1" xfId="0" applyNumberFormat="1" applyFont="1" applyBorder="1" applyAlignment="1">
      <alignment horizontal="left"/>
    </xf>
    <xf numFmtId="4" fontId="13" fillId="0" borderId="3" xfId="0" applyNumberFormat="1" applyFont="1" applyBorder="1" applyAlignment="1">
      <alignment horizontal="left"/>
    </xf>
    <xf numFmtId="4" fontId="13" fillId="0" borderId="4" xfId="0" applyNumberFormat="1" applyFont="1" applyBorder="1" applyAlignment="1">
      <alignment horizontal="left"/>
    </xf>
    <xf numFmtId="0" fontId="19" fillId="0" borderId="0" xfId="0" applyFont="1" applyAlignment="1">
      <alignment horizontal="center" wrapText="1"/>
    </xf>
    <xf numFmtId="0" fontId="19" fillId="0" borderId="0" xfId="0" applyFont="1" applyAlignment="1">
      <alignment horizontal="center"/>
    </xf>
    <xf numFmtId="0" fontId="0" fillId="0" borderId="7" xfId="0" applyFill="1" applyBorder="1" applyAlignment="1">
      <alignment horizontal="left"/>
    </xf>
    <xf numFmtId="0" fontId="0" fillId="0" borderId="7" xfId="0" applyBorder="1" applyAlignment="1">
      <alignment horizontal="left"/>
    </xf>
    <xf numFmtId="0" fontId="0" fillId="0" borderId="3"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 fontId="0" fillId="0" borderId="1" xfId="0" applyNumberFormat="1" applyBorder="1" applyAlignment="1">
      <alignment horizontal="left"/>
    </xf>
    <xf numFmtId="4" fontId="0" fillId="0" borderId="3" xfId="0" applyNumberFormat="1" applyBorder="1" applyAlignment="1">
      <alignment horizontal="left"/>
    </xf>
    <xf numFmtId="4" fontId="0" fillId="0" borderId="4" xfId="0" applyNumberFormat="1" applyBorder="1" applyAlignment="1">
      <alignment horizontal="left"/>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46" xfId="0" applyFill="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4" fontId="0" fillId="0" borderId="7" xfId="0" applyNumberFormat="1" applyBorder="1" applyAlignment="1">
      <alignment horizontal="left"/>
    </xf>
    <xf numFmtId="4" fontId="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0" fontId="0" fillId="0" borderId="0" xfId="0" applyAlignment="1">
      <alignment horizontal="center"/>
    </xf>
    <xf numFmtId="0" fontId="12" fillId="0" borderId="3" xfId="0" applyFont="1"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center"/>
    </xf>
    <xf numFmtId="4" fontId="10" fillId="0" borderId="1" xfId="3" applyNumberFormat="1" applyFont="1" applyBorder="1" applyAlignment="1">
      <alignment vertical="top" wrapText="1"/>
    </xf>
    <xf numFmtId="4" fontId="10" fillId="0" borderId="3" xfId="3" applyNumberFormat="1" applyFont="1" applyBorder="1" applyAlignment="1">
      <alignment vertical="top" wrapText="1"/>
    </xf>
    <xf numFmtId="4" fontId="10" fillId="0" borderId="4" xfId="3" applyNumberFormat="1" applyFont="1" applyBorder="1" applyAlignment="1">
      <alignment vertical="top" wrapText="1"/>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64" fontId="7" fillId="0" borderId="1" xfId="0" applyNumberFormat="1"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19" fillId="0" borderId="1"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0" fillId="0" borderId="7" xfId="0" applyBorder="1" applyAlignment="1">
      <alignment horizontal="center"/>
    </xf>
    <xf numFmtId="174" fontId="0" fillId="0" borderId="1" xfId="0" applyNumberFormat="1" applyFill="1" applyBorder="1" applyAlignment="1">
      <alignment horizontal="center"/>
    </xf>
    <xf numFmtId="174" fontId="0" fillId="0" borderId="3" xfId="0" applyNumberFormat="1" applyFill="1" applyBorder="1" applyAlignment="1">
      <alignment horizontal="center"/>
    </xf>
    <xf numFmtId="174" fontId="0" fillId="0" borderId="4" xfId="0" applyNumberFormat="1" applyFill="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0" borderId="3" xfId="0" applyFont="1"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0" xfId="0" applyFont="1" applyAlignment="1">
      <alignment horizontal="center"/>
    </xf>
    <xf numFmtId="0" fontId="0" fillId="0" borderId="47" xfId="0" applyFont="1" applyBorder="1" applyAlignment="1">
      <alignment horizontal="center"/>
    </xf>
    <xf numFmtId="0" fontId="0" fillId="0" borderId="48" xfId="0" applyFont="1" applyBorder="1" applyAlignment="1">
      <alignment horizontal="center"/>
    </xf>
    <xf numFmtId="0" fontId="0" fillId="0" borderId="49" xfId="0" applyFont="1" applyBorder="1" applyAlignment="1">
      <alignment horizontal="center"/>
    </xf>
  </cellXfs>
  <cellStyles count="5">
    <cellStyle name="Normale" xfId="0" builtinId="0"/>
    <cellStyle name="Normale 2" xfId="1" xr:uid="{00000000-0005-0000-0000-000001000000}"/>
    <cellStyle name="Percentuale 2" xfId="2" xr:uid="{00000000-0005-0000-0000-000002000000}"/>
    <cellStyle name="Valuta" xfId="3" builtinId="4"/>
    <cellStyle name="Valuta 2" xfId="4" xr:uid="{00000000-0005-0000-0000-000004000000}"/>
  </cellStyles>
  <dxfs count="23">
    <dxf>
      <font>
        <color theme="0" tint="-0.24994659260841701"/>
      </font>
      <fill>
        <patternFill>
          <bgColor theme="0" tint="-0.24994659260841701"/>
        </patternFill>
      </fill>
    </dxf>
    <dxf>
      <numFmt numFmtId="14" formatCode="0.00%"/>
    </dxf>
    <dxf>
      <numFmt numFmtId="14" formatCode="0.00%"/>
    </dxf>
    <dxf>
      <numFmt numFmtId="14" formatCode="0.00%"/>
    </dxf>
    <dxf>
      <fill>
        <patternFill>
          <bgColor rgb="FFFF0000"/>
        </patternFill>
      </fill>
    </dxf>
    <dxf>
      <fill>
        <patternFill>
          <bgColor rgb="FFFFC000"/>
        </patternFill>
      </fill>
    </dxf>
    <dxf>
      <font>
        <strike val="0"/>
      </font>
    </dxf>
    <dxf>
      <font>
        <strike val="0"/>
      </font>
    </dxf>
    <dxf>
      <fill>
        <patternFill>
          <bgColor rgb="FFFFC000"/>
        </patternFill>
      </fill>
    </dxf>
    <dxf>
      <fill>
        <patternFill>
          <bgColor rgb="FFFF0000"/>
        </patternFill>
      </fill>
    </dxf>
    <dxf>
      <fill>
        <patternFill>
          <bgColor rgb="FFFFC000"/>
        </patternFill>
      </fill>
    </dxf>
    <dxf>
      <font>
        <strike val="0"/>
      </font>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I243"/>
  <sheetViews>
    <sheetView tabSelected="1" topLeftCell="A16" zoomScaleNormal="100" zoomScaleSheetLayoutView="100" workbookViewId="0">
      <selection activeCell="C17" sqref="C17:E17"/>
    </sheetView>
  </sheetViews>
  <sheetFormatPr defaultRowHeight="15" x14ac:dyDescent="0.25"/>
  <cols>
    <col min="1" max="1" width="9.140625" style="96"/>
    <col min="2" max="2" width="51" style="96" customWidth="1"/>
    <col min="3" max="3" width="39" style="96" customWidth="1"/>
    <col min="4" max="4" width="41.42578125" style="96" bestFit="1" customWidth="1"/>
    <col min="5" max="6" width="37.85546875" style="96" customWidth="1"/>
    <col min="7" max="7" width="35.85546875" style="96" customWidth="1"/>
    <col min="8" max="8" width="24.42578125" style="96" bestFit="1" customWidth="1"/>
    <col min="9" max="9" width="20.28515625" style="96" customWidth="1"/>
    <col min="10" max="10" width="17.140625" style="96" customWidth="1"/>
    <col min="11" max="11" width="17.5703125" style="96" customWidth="1"/>
    <col min="12" max="12" width="17.7109375" style="96" customWidth="1"/>
    <col min="13" max="13" width="19.5703125" style="96" customWidth="1"/>
    <col min="14" max="15" width="9.140625" style="96"/>
    <col min="16" max="16" width="16" style="96" customWidth="1"/>
    <col min="17" max="17" width="23" style="96" customWidth="1"/>
    <col min="18" max="18" width="21.7109375" style="96" customWidth="1"/>
    <col min="19" max="20" width="9.140625" style="96"/>
    <col min="21" max="23" width="9.140625" style="96" hidden="1" customWidth="1"/>
    <col min="24" max="34" width="0" style="96" hidden="1" customWidth="1"/>
    <col min="35" max="35" width="117.7109375" style="252" hidden="1" customWidth="1"/>
    <col min="36" max="16384" width="9.140625" style="96"/>
  </cols>
  <sheetData>
    <row r="1" spans="1:35" x14ac:dyDescent="0.25">
      <c r="A1" s="186" t="s">
        <v>317</v>
      </c>
    </row>
    <row r="2" spans="1:35" x14ac:dyDescent="0.25">
      <c r="A2" s="96" t="s">
        <v>336</v>
      </c>
      <c r="B2" s="100" t="s">
        <v>120</v>
      </c>
      <c r="C2" s="190" t="s">
        <v>50</v>
      </c>
    </row>
    <row r="3" spans="1:35" ht="33" customHeight="1" x14ac:dyDescent="0.25">
      <c r="B3" s="100" t="s">
        <v>145</v>
      </c>
      <c r="C3" s="273" t="s">
        <v>333</v>
      </c>
    </row>
    <row r="4" spans="1:35" ht="35.25" customHeight="1" x14ac:dyDescent="0.25">
      <c r="B4" s="100" t="s">
        <v>147</v>
      </c>
      <c r="C4" s="273" t="s">
        <v>337</v>
      </c>
    </row>
    <row r="5" spans="1:35" ht="30" x14ac:dyDescent="0.25">
      <c r="B5" s="100" t="s">
        <v>149</v>
      </c>
      <c r="C5" s="273" t="s">
        <v>328</v>
      </c>
    </row>
    <row r="6" spans="1:35" x14ac:dyDescent="0.25">
      <c r="B6" s="100" t="s">
        <v>151</v>
      </c>
      <c r="C6" s="273" t="s">
        <v>339</v>
      </c>
    </row>
    <row r="7" spans="1:35" x14ac:dyDescent="0.25">
      <c r="B7" s="100" t="s">
        <v>153</v>
      </c>
      <c r="C7" s="273" t="s">
        <v>340</v>
      </c>
    </row>
    <row r="8" spans="1:35" ht="30" x14ac:dyDescent="0.25">
      <c r="B8" s="100" t="s">
        <v>154</v>
      </c>
      <c r="C8" s="273" t="s">
        <v>341</v>
      </c>
    </row>
    <row r="9" spans="1:35" x14ac:dyDescent="0.25">
      <c r="C9" s="121"/>
    </row>
    <row r="12" spans="1:35" s="102" customFormat="1" x14ac:dyDescent="0.25">
      <c r="C12" s="102" t="s">
        <v>128</v>
      </c>
      <c r="D12" s="102" t="s">
        <v>25</v>
      </c>
      <c r="AI12" s="253"/>
    </row>
    <row r="13" spans="1:35" x14ac:dyDescent="0.25">
      <c r="B13" s="100" t="s">
        <v>123</v>
      </c>
      <c r="C13" s="191" t="s">
        <v>187</v>
      </c>
      <c r="E13" s="133"/>
    </row>
    <row r="14" spans="1:35" x14ac:dyDescent="0.25">
      <c r="A14" s="96">
        <f>+INDEX($A$229:$A$236,MATCH(C14,$B$229:$B$236,0))</f>
        <v>1</v>
      </c>
      <c r="B14" s="100" t="s">
        <v>189</v>
      </c>
      <c r="C14" s="191" t="s">
        <v>187</v>
      </c>
      <c r="E14" s="133"/>
    </row>
    <row r="15" spans="1:35" x14ac:dyDescent="0.25">
      <c r="B15" s="282"/>
      <c r="C15" s="282"/>
      <c r="D15" s="282"/>
    </row>
    <row r="16" spans="1:35" x14ac:dyDescent="0.25">
      <c r="A16" s="186" t="s">
        <v>318</v>
      </c>
      <c r="B16" s="185"/>
      <c r="C16" s="185"/>
      <c r="D16" s="185"/>
    </row>
    <row r="17" spans="1:35" ht="218.25" customHeight="1" x14ac:dyDescent="0.25">
      <c r="B17" s="177" t="s">
        <v>275</v>
      </c>
      <c r="C17" s="281" t="s">
        <v>343</v>
      </c>
      <c r="D17" s="281"/>
      <c r="E17" s="281"/>
      <c r="AI17" s="252" t="str">
        <f>+C17</f>
        <v xml:space="preserve">L'intervento si pone come obiettivo quello di mantenere i livelli di sevizio per l'intero anno pedagogico 2020/2021 nei nidi e micronidi dei Comuni oggetto della presente scheda di intervento , così come programmati con il precedente finanziamento PAC. Si precisa,  che  per il Comune di Gualtieri Sicaminò, con il finanziamento PAC si potenzia il servizio di n° 15 utenti ; per quanto attiene l'intervento al Comune di Venetico dotato di micro-nido per 15 utenti, non presente nella progettazione di cui al primo riparto, ha in carico 8 bambini e con il sostegno PAC. si elide la lista d'attesa con l'ammissione di ulteriori 7 utenti. Per il Comune di S. Filippo del Mela con capienza autorizzata di 36 bambini ed una presenza attuale di 36 utenti, riportato alla capienza massima grazie all'intervento del Pac , si mantengono i livelli di servizio.  Per l'Asilo Nido di S. Lucia del Mela l'intervento qui proposto è assolutamente identico a quello di cui al primo riparto ed ha come obiettivo di incrementare gli utenti di 8,aumentando il numero degli ammessi al servizio da 12 a 20 utenti. Sostanzialmente tutti gli interventi proposti prevedono l'impiego di personale a completamento degli operatori già in servizio in ciascun Ente, nel rispetto della capienza massima prevista per ogni singola struttura e degli standard determinati dalla normativa regionale, eliminando le liste di attesa. Il reperimento di detto personale  avverrà mediante affidamento diretto secondo quanto previsto dal D.L. 11 settembre 2020 n. 120 di Conversione in legge, con modificazioni, del decreto-legge 16 luglio 2010, n. 76, recante «Misure urgenti per la semplificazione e l’innovazione digitali» (Decreto Semplificazioni), che deroga l'art.36 comma 2 lett. a) del Codice dei Contratti. Per quanto attiene il servizio mensa per tutti gli utenti è garantito con la scheda intervento già appaltata ed avviata con conlcusione prevista a giugno 2021.                      </v>
      </c>
    </row>
    <row r="18" spans="1:35" ht="45" x14ac:dyDescent="0.25">
      <c r="B18" s="178" t="s">
        <v>258</v>
      </c>
      <c r="C18" s="281" t="s">
        <v>342</v>
      </c>
      <c r="D18" s="281"/>
      <c r="E18" s="281"/>
      <c r="AI18" s="252" t="str">
        <f>+C18</f>
        <v xml:space="preserve"> 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row>
    <row r="19" spans="1:35" ht="30" x14ac:dyDescent="0.25">
      <c r="B19" s="178" t="s">
        <v>259</v>
      </c>
      <c r="C19" s="281" t="s">
        <v>334</v>
      </c>
      <c r="D19" s="281"/>
      <c r="E19" s="281"/>
      <c r="AI19" s="252" t="str">
        <f>+C19</f>
        <v>Non esiste alcuna regolamentazione di livello distrettuale.</v>
      </c>
    </row>
    <row r="20" spans="1:35" ht="30" x14ac:dyDescent="0.25">
      <c r="B20" s="178" t="s">
        <v>260</v>
      </c>
      <c r="C20" s="281" t="s">
        <v>338</v>
      </c>
      <c r="D20" s="281"/>
      <c r="E20" s="281"/>
      <c r="AI20" s="252" t="str">
        <f>+C20</f>
        <v>La regolazione della compartecipazione dell'utenza viene determinata da ogni Ente annualmente in sede di determinazione delle tariffe dei servizi a domanda individuale.</v>
      </c>
    </row>
    <row r="21" spans="1:35" ht="30" x14ac:dyDescent="0.25">
      <c r="B21" s="178" t="s">
        <v>261</v>
      </c>
      <c r="C21" s="281" t="s">
        <v>335</v>
      </c>
      <c r="D21" s="281"/>
      <c r="E21" s="281"/>
      <c r="AI21" s="252" t="str">
        <f>+C21</f>
        <v>Tutti gli Asili Nido del Distretto prevedono una quota di compartecipazione degli utenti che varia in funzione del reddito della famiglia rilevato dall'attestazione ISEE. Sono altresì previste esenzioni per nuclei familiari in condizione di disagio economico.</v>
      </c>
    </row>
    <row r="22" spans="1:35" x14ac:dyDescent="0.25">
      <c r="C22" s="168"/>
      <c r="D22" s="168"/>
      <c r="E22" s="168"/>
    </row>
    <row r="23" spans="1:35" x14ac:dyDescent="0.25">
      <c r="B23"/>
      <c r="C23" s="165"/>
      <c r="D23" s="165"/>
    </row>
    <row r="25" spans="1:35" ht="30" x14ac:dyDescent="0.25">
      <c r="B25" s="100" t="s">
        <v>124</v>
      </c>
      <c r="C25" s="192" t="s">
        <v>186</v>
      </c>
    </row>
    <row r="26" spans="1:35" x14ac:dyDescent="0.25">
      <c r="B26" s="100" t="s">
        <v>125</v>
      </c>
      <c r="C26" s="192" t="s">
        <v>47</v>
      </c>
      <c r="D26" s="127" t="str">
        <f>+IF(AND(C25=C190,C26=C194),"Nel caso di gestione diretta è necessario utilizzare il CCNL Enti Locali.","") &amp; IF(AND(C25=C192,C26&lt;&gt;C194),"Nel caso di concessione è necessario utilizzare il CCNL Cooperative.","")&amp; IF(AND(C25=C188,C26&lt;&gt;C194),"Nel caso di appalto di servizi è necessario utilizzare il CCNL Cooperative.","")</f>
        <v/>
      </c>
    </row>
    <row r="27" spans="1:35" x14ac:dyDescent="0.25">
      <c r="B27" s="103"/>
    </row>
    <row r="28" spans="1:35" ht="15.75" thickBot="1" x14ac:dyDescent="0.3">
      <c r="A28" s="186" t="s">
        <v>319</v>
      </c>
      <c r="B28" s="103"/>
    </row>
    <row r="29" spans="1:35" x14ac:dyDescent="0.25">
      <c r="B29" s="142" t="s">
        <v>267</v>
      </c>
      <c r="C29" s="142" t="s">
        <v>315</v>
      </c>
    </row>
    <row r="30" spans="1:35" x14ac:dyDescent="0.25">
      <c r="B30" s="143"/>
      <c r="C30" s="143"/>
    </row>
    <row r="31" spans="1:35" x14ac:dyDescent="0.25">
      <c r="B31" s="247" t="s">
        <v>329</v>
      </c>
      <c r="C31" s="193">
        <v>9</v>
      </c>
    </row>
    <row r="32" spans="1:35" x14ac:dyDescent="0.25">
      <c r="B32" s="247" t="s">
        <v>330</v>
      </c>
      <c r="C32" s="193">
        <v>36</v>
      </c>
    </row>
    <row r="33" spans="1:35" x14ac:dyDescent="0.25">
      <c r="B33" s="247" t="s">
        <v>331</v>
      </c>
      <c r="C33" s="193">
        <v>12</v>
      </c>
    </row>
    <row r="34" spans="1:35" x14ac:dyDescent="0.25">
      <c r="B34" s="247" t="s">
        <v>332</v>
      </c>
      <c r="C34" s="193">
        <v>8</v>
      </c>
    </row>
    <row r="35" spans="1:35" ht="15.75" thickBot="1" x14ac:dyDescent="0.3">
      <c r="B35" s="248"/>
      <c r="C35" s="194"/>
    </row>
    <row r="36" spans="1:35" x14ac:dyDescent="0.25">
      <c r="B36" s="247"/>
      <c r="C36" s="193"/>
    </row>
    <row r="37" spans="1:35" ht="15.75" thickBot="1" x14ac:dyDescent="0.3">
      <c r="B37" s="248"/>
      <c r="C37" s="194"/>
    </row>
    <row r="38" spans="1:35" x14ac:dyDescent="0.25">
      <c r="B38" s="103"/>
    </row>
    <row r="39" spans="1:35" x14ac:dyDescent="0.25">
      <c r="B39" s="103"/>
      <c r="P39" s="133"/>
    </row>
    <row r="40" spans="1:35" ht="15.75" thickBot="1" x14ac:dyDescent="0.3">
      <c r="A40" s="186" t="s">
        <v>320</v>
      </c>
      <c r="B40" s="103"/>
    </row>
    <row r="41" spans="1:35" s="186" customFormat="1" ht="45" x14ac:dyDescent="0.25">
      <c r="B41" s="229" t="s">
        <v>198</v>
      </c>
      <c r="C41" s="229" t="s">
        <v>316</v>
      </c>
      <c r="D41" s="274" t="s">
        <v>199</v>
      </c>
      <c r="E41" s="275"/>
      <c r="F41" s="275"/>
      <c r="G41" s="275"/>
      <c r="H41" s="283"/>
      <c r="I41" s="274" t="s">
        <v>325</v>
      </c>
      <c r="J41" s="275"/>
      <c r="K41" s="275"/>
      <c r="L41" s="275"/>
      <c r="M41" s="275"/>
      <c r="N41" s="275"/>
      <c r="O41" s="276"/>
      <c r="P41" s="230" t="s">
        <v>241</v>
      </c>
      <c r="Q41" s="230" t="s">
        <v>214</v>
      </c>
      <c r="R41" s="230" t="s">
        <v>215</v>
      </c>
      <c r="AI41" s="254"/>
    </row>
    <row r="42" spans="1:35" x14ac:dyDescent="0.25">
      <c r="B42" s="143"/>
      <c r="C42" s="143"/>
      <c r="D42" s="135" t="s">
        <v>19</v>
      </c>
      <c r="E42" s="103" t="s">
        <v>203</v>
      </c>
      <c r="F42" s="136" t="s">
        <v>204</v>
      </c>
      <c r="G42" s="136" t="s">
        <v>205</v>
      </c>
      <c r="H42" s="137" t="s">
        <v>206</v>
      </c>
      <c r="I42" s="138" t="s">
        <v>207</v>
      </c>
      <c r="J42" s="100" t="s">
        <v>208</v>
      </c>
      <c r="K42" s="100" t="s">
        <v>209</v>
      </c>
      <c r="L42" s="100" t="s">
        <v>210</v>
      </c>
      <c r="M42" s="100" t="s">
        <v>211</v>
      </c>
      <c r="N42" s="100" t="s">
        <v>212</v>
      </c>
      <c r="O42" s="134" t="s">
        <v>213</v>
      </c>
      <c r="P42" s="100"/>
      <c r="Q42" s="100"/>
      <c r="R42" s="100"/>
    </row>
    <row r="43" spans="1:35" ht="30" x14ac:dyDescent="0.25">
      <c r="B43" s="261" t="s">
        <v>329</v>
      </c>
      <c r="C43" s="262" t="s">
        <v>200</v>
      </c>
      <c r="D43" s="263">
        <v>24</v>
      </c>
      <c r="E43" s="264" t="s">
        <v>78</v>
      </c>
      <c r="F43" s="196"/>
      <c r="G43" s="196"/>
      <c r="H43" s="197"/>
      <c r="I43" s="263">
        <v>6</v>
      </c>
      <c r="J43" s="264">
        <v>6</v>
      </c>
      <c r="K43" s="264">
        <v>6</v>
      </c>
      <c r="L43" s="264">
        <v>6</v>
      </c>
      <c r="M43" s="264">
        <v>6</v>
      </c>
      <c r="N43" s="264"/>
      <c r="O43" s="271"/>
      <c r="P43" s="100">
        <f>+COUNTIF(I43:O43,"&gt;0")</f>
        <v>5</v>
      </c>
      <c r="Q43" s="195">
        <v>5.9</v>
      </c>
      <c r="R43" s="202">
        <v>25</v>
      </c>
    </row>
    <row r="44" spans="1:35" ht="30" x14ac:dyDescent="0.25">
      <c r="B44" s="261" t="s">
        <v>330</v>
      </c>
      <c r="C44" s="262" t="s">
        <v>200</v>
      </c>
      <c r="D44" s="263">
        <v>24</v>
      </c>
      <c r="E44" s="264" t="s">
        <v>78</v>
      </c>
      <c r="F44" s="196"/>
      <c r="G44" s="196"/>
      <c r="H44" s="197"/>
      <c r="I44" s="263">
        <v>6</v>
      </c>
      <c r="J44" s="264">
        <v>6</v>
      </c>
      <c r="K44" s="264">
        <v>6</v>
      </c>
      <c r="L44" s="264">
        <v>6</v>
      </c>
      <c r="M44" s="264">
        <v>6</v>
      </c>
      <c r="N44" s="264"/>
      <c r="O44" s="271"/>
      <c r="P44" s="100">
        <f t="shared" ref="P44:P49" si="0">+COUNTIF(I44:O44,"&gt;0")</f>
        <v>5</v>
      </c>
      <c r="Q44" s="195">
        <v>5.9</v>
      </c>
      <c r="R44" s="202">
        <v>25</v>
      </c>
    </row>
    <row r="45" spans="1:35" ht="30" x14ac:dyDescent="0.25">
      <c r="B45" s="261" t="s">
        <v>331</v>
      </c>
      <c r="C45" s="262" t="s">
        <v>200</v>
      </c>
      <c r="D45" s="263">
        <v>8</v>
      </c>
      <c r="E45" s="264" t="s">
        <v>78</v>
      </c>
      <c r="F45" s="196"/>
      <c r="G45" s="196"/>
      <c r="H45" s="197"/>
      <c r="I45" s="263">
        <v>6</v>
      </c>
      <c r="J45" s="264">
        <v>6</v>
      </c>
      <c r="K45" s="264">
        <v>6</v>
      </c>
      <c r="L45" s="264">
        <v>6</v>
      </c>
      <c r="M45" s="264">
        <v>6</v>
      </c>
      <c r="N45" s="264"/>
      <c r="O45" s="271"/>
      <c r="P45" s="100">
        <f t="shared" si="0"/>
        <v>5</v>
      </c>
      <c r="Q45" s="195">
        <v>5.9</v>
      </c>
      <c r="R45" s="202">
        <v>25</v>
      </c>
    </row>
    <row r="46" spans="1:35" ht="30" x14ac:dyDescent="0.25">
      <c r="B46" s="261" t="s">
        <v>332</v>
      </c>
      <c r="C46" s="262" t="s">
        <v>202</v>
      </c>
      <c r="D46" s="263">
        <v>7</v>
      </c>
      <c r="E46" s="264" t="s">
        <v>78</v>
      </c>
      <c r="F46" s="196"/>
      <c r="G46" s="196"/>
      <c r="H46" s="197"/>
      <c r="I46" s="263">
        <v>6</v>
      </c>
      <c r="J46" s="264">
        <v>6</v>
      </c>
      <c r="K46" s="264">
        <v>6</v>
      </c>
      <c r="L46" s="264">
        <v>6</v>
      </c>
      <c r="M46" s="264">
        <v>6</v>
      </c>
      <c r="N46" s="264"/>
      <c r="O46" s="271"/>
      <c r="P46" s="100">
        <f t="shared" si="0"/>
        <v>5</v>
      </c>
      <c r="Q46" s="195">
        <v>5.9</v>
      </c>
      <c r="R46" s="202">
        <v>25</v>
      </c>
    </row>
    <row r="47" spans="1:35" ht="30" x14ac:dyDescent="0.25">
      <c r="B47" s="261" t="s">
        <v>330</v>
      </c>
      <c r="C47" s="262" t="s">
        <v>202</v>
      </c>
      <c r="D47" s="263">
        <v>36</v>
      </c>
      <c r="E47" s="264" t="s">
        <v>78</v>
      </c>
      <c r="F47" s="196"/>
      <c r="G47" s="196"/>
      <c r="H47" s="197"/>
      <c r="I47" s="263">
        <v>6</v>
      </c>
      <c r="J47" s="264">
        <v>6</v>
      </c>
      <c r="K47" s="264">
        <v>6</v>
      </c>
      <c r="L47" s="264">
        <v>6</v>
      </c>
      <c r="M47" s="264">
        <v>6</v>
      </c>
      <c r="N47" s="264"/>
      <c r="O47" s="271"/>
      <c r="P47" s="100">
        <f t="shared" si="0"/>
        <v>5</v>
      </c>
      <c r="Q47" s="195">
        <v>5.9</v>
      </c>
      <c r="R47" s="202"/>
    </row>
    <row r="48" spans="1:35" ht="30.75" thickBot="1" x14ac:dyDescent="0.3">
      <c r="B48" s="265" t="s">
        <v>331</v>
      </c>
      <c r="C48" s="266" t="s">
        <v>202</v>
      </c>
      <c r="D48" s="263">
        <v>12</v>
      </c>
      <c r="E48" s="264" t="s">
        <v>78</v>
      </c>
      <c r="F48" s="196"/>
      <c r="G48" s="196"/>
      <c r="H48" s="197"/>
      <c r="I48" s="263">
        <v>6</v>
      </c>
      <c r="J48" s="264">
        <v>6</v>
      </c>
      <c r="K48" s="264">
        <v>6</v>
      </c>
      <c r="L48" s="264">
        <v>6</v>
      </c>
      <c r="M48" s="264">
        <v>6</v>
      </c>
      <c r="N48" s="264"/>
      <c r="O48" s="271"/>
      <c r="P48" s="100">
        <f t="shared" si="0"/>
        <v>5</v>
      </c>
      <c r="Q48" s="195">
        <v>5.9</v>
      </c>
      <c r="R48" s="202"/>
    </row>
    <row r="49" spans="1:35" ht="30.75" thickBot="1" x14ac:dyDescent="0.3">
      <c r="B49" s="265" t="s">
        <v>332</v>
      </c>
      <c r="C49" s="266" t="s">
        <v>202</v>
      </c>
      <c r="D49" s="267">
        <v>8</v>
      </c>
      <c r="E49" s="268" t="s">
        <v>78</v>
      </c>
      <c r="F49" s="198">
        <v>2</v>
      </c>
      <c r="G49" s="198">
        <v>8</v>
      </c>
      <c r="H49" s="199">
        <v>7</v>
      </c>
      <c r="I49" s="267">
        <v>6</v>
      </c>
      <c r="J49" s="268">
        <v>6</v>
      </c>
      <c r="K49" s="268">
        <v>6</v>
      </c>
      <c r="L49" s="268">
        <v>6</v>
      </c>
      <c r="M49" s="268">
        <v>6</v>
      </c>
      <c r="N49" s="268"/>
      <c r="O49" s="272"/>
      <c r="P49" s="100">
        <f t="shared" si="0"/>
        <v>5</v>
      </c>
      <c r="Q49" s="195">
        <v>5.9</v>
      </c>
      <c r="R49" s="202"/>
    </row>
    <row r="50" spans="1:35" ht="33" customHeight="1" x14ac:dyDescent="0.25">
      <c r="B50" s="103"/>
      <c r="P50" s="289" t="s">
        <v>251</v>
      </c>
      <c r="Q50" s="289"/>
      <c r="R50" s="289"/>
    </row>
    <row r="51" spans="1:35" ht="15.75" thickBot="1" x14ac:dyDescent="0.3">
      <c r="A51" s="186" t="s">
        <v>321</v>
      </c>
      <c r="B51" s="103"/>
    </row>
    <row r="52" spans="1:35" s="241" customFormat="1" ht="60" x14ac:dyDescent="0.25">
      <c r="B52" s="242" t="s">
        <v>198</v>
      </c>
      <c r="C52" s="243" t="s">
        <v>139</v>
      </c>
      <c r="D52" s="277" t="s">
        <v>220</v>
      </c>
      <c r="E52" s="278"/>
      <c r="F52" s="279"/>
      <c r="G52" s="277" t="s">
        <v>221</v>
      </c>
      <c r="H52" s="279"/>
      <c r="I52" s="277" t="s">
        <v>225</v>
      </c>
      <c r="J52" s="280"/>
      <c r="K52" s="244" t="s">
        <v>226</v>
      </c>
      <c r="L52" s="245" t="s">
        <v>283</v>
      </c>
      <c r="M52" s="246" t="s">
        <v>284</v>
      </c>
      <c r="AI52" s="255"/>
    </row>
    <row r="53" spans="1:35" ht="30" x14ac:dyDescent="0.25">
      <c r="B53" s="233"/>
      <c r="C53" s="234"/>
      <c r="D53" s="235" t="s">
        <v>216</v>
      </c>
      <c r="E53" s="236" t="s">
        <v>217</v>
      </c>
      <c r="F53" s="237" t="s">
        <v>218</v>
      </c>
      <c r="G53" s="238" t="s">
        <v>222</v>
      </c>
      <c r="H53" s="239" t="s">
        <v>223</v>
      </c>
      <c r="I53" s="238" t="s">
        <v>222</v>
      </c>
      <c r="J53" s="234" t="s">
        <v>223</v>
      </c>
      <c r="K53" s="238"/>
      <c r="L53" s="239"/>
      <c r="M53" s="240"/>
    </row>
    <row r="54" spans="1:35" x14ac:dyDescent="0.25">
      <c r="B54" s="249" t="str">
        <f>+B43</f>
        <v>Comune di Gualtieri Sicaminò</v>
      </c>
      <c r="C54" s="144">
        <f t="shared" ref="C54:C60" si="1">+SUM(I43:O43)*Q43*4.333</f>
        <v>766.94100000000003</v>
      </c>
      <c r="D54" s="260">
        <v>1</v>
      </c>
      <c r="E54" s="100">
        <f t="shared" ref="E54:E60" si="2">+IF(E43=$C$199,ROUNDDOWN(D43/$H$239*$I$239,0),IF($E$239&gt;0,ROUNDDOWN(F43/$E$239*$I$239,0),0)+IF($F$239&gt;0,ROUNDDOWN(G43/$F$239*$I$239,0),0)+IF($G$239&gt;0,ROUNDDOWN(H43/$G$239*$I$239,0),0))</f>
        <v>0</v>
      </c>
      <c r="F54" s="259">
        <v>1</v>
      </c>
      <c r="G54" s="260">
        <f>20/30</f>
        <v>0.66666666666666663</v>
      </c>
      <c r="H54" s="269">
        <f>20/30</f>
        <v>0.66666666666666663</v>
      </c>
      <c r="I54" s="138">
        <f t="shared" ref="I54:I60" si="3">IF(AND($C$13=$C$156,D43&gt;29),0.5,IF(AND($C$13=$C$156,D43&gt;19),0.3,0))</f>
        <v>0.3</v>
      </c>
      <c r="J54" s="200"/>
      <c r="K54" s="145">
        <f t="shared" ref="K54:K60" si="4">+IF($C$13=$C$156,ROUNDUP(D43*COUNT(I43:O43)*Q43*4.333,0),0)</f>
        <v>3068</v>
      </c>
      <c r="L54" s="231"/>
      <c r="M54" s="203">
        <v>0</v>
      </c>
    </row>
    <row r="55" spans="1:35" x14ac:dyDescent="0.25">
      <c r="B55" s="249" t="str">
        <f t="shared" ref="B55:B60" si="5">+B44</f>
        <v>Comune di San Filippo del Mela</v>
      </c>
      <c r="C55" s="144">
        <f t="shared" si="1"/>
        <v>766.94100000000003</v>
      </c>
      <c r="D55" s="138">
        <f>+IF(E44=$C$199,ROUNDUP(D44/$H$239,0),IF($E$239&gt;0,ROUNDUP(F44/$E$239,0),0)+IF($F$239&gt;0,ROUNDUP(G44/$F$239,0),0)+IF($G$239&gt;0,ROUNDUP(H44/$G$239,0),0))-E55</f>
        <v>3</v>
      </c>
      <c r="E55" s="100">
        <f t="shared" si="2"/>
        <v>0</v>
      </c>
      <c r="F55" s="259">
        <v>1</v>
      </c>
      <c r="G55" s="138">
        <f t="shared" ref="G55:G60" si="6">IF(AND($C$13=$C$156,D44&gt;20),0.5,0)</f>
        <v>0.5</v>
      </c>
      <c r="H55" s="270">
        <v>0</v>
      </c>
      <c r="I55" s="138">
        <f t="shared" si="3"/>
        <v>0.3</v>
      </c>
      <c r="J55" s="200">
        <v>0</v>
      </c>
      <c r="K55" s="145">
        <f t="shared" si="4"/>
        <v>3068</v>
      </c>
      <c r="L55" s="231"/>
      <c r="M55" s="203">
        <v>0</v>
      </c>
    </row>
    <row r="56" spans="1:35" x14ac:dyDescent="0.25">
      <c r="B56" s="249" t="str">
        <f t="shared" si="5"/>
        <v>Comune di Santa Lucia del Mela</v>
      </c>
      <c r="C56" s="144">
        <f t="shared" si="1"/>
        <v>766.94100000000003</v>
      </c>
      <c r="D56" s="138">
        <f>+IF(E45=$C$199,ROUNDUP(D45/$H$239,0),IF($E$239&gt;0,ROUNDUP(F45/$E$239,0),0)+IF($F$239&gt;0,ROUNDUP(G45/$F$239,0),0)+IF($G$239&gt;0,ROUNDUP(H45/$G$239,0),0))-E56</f>
        <v>1</v>
      </c>
      <c r="E56" s="100">
        <f t="shared" si="2"/>
        <v>0</v>
      </c>
      <c r="F56" s="139">
        <f>+ROUNDUP(D45/$J$239,0)</f>
        <v>1</v>
      </c>
      <c r="G56" s="138">
        <f t="shared" si="6"/>
        <v>0</v>
      </c>
      <c r="H56" s="270"/>
      <c r="I56" s="138">
        <f t="shared" si="3"/>
        <v>0</v>
      </c>
      <c r="J56" s="200"/>
      <c r="K56" s="145">
        <f t="shared" si="4"/>
        <v>1023</v>
      </c>
      <c r="L56" s="231"/>
      <c r="M56" s="203"/>
    </row>
    <row r="57" spans="1:35" x14ac:dyDescent="0.25">
      <c r="B57" s="249" t="str">
        <f t="shared" si="5"/>
        <v>Comune di Venetico</v>
      </c>
      <c r="C57" s="144">
        <f t="shared" si="1"/>
        <v>766.94100000000003</v>
      </c>
      <c r="D57" s="138">
        <f>+IF(E46=$C$199,ROUNDUP(D46/$H$239,0),IF($E$239&gt;0,ROUNDUP(F46/$E$239,0),0)+IF($F$239&gt;0,ROUNDUP(G46/$F$239,0),0)+IF($G$239&gt;0,ROUNDUP(H46/$G$239,0),0))-E57</f>
        <v>1</v>
      </c>
      <c r="E57" s="100">
        <f t="shared" si="2"/>
        <v>0</v>
      </c>
      <c r="F57" s="139">
        <f>+ROUNDUP(D46/$J$239,0)</f>
        <v>1</v>
      </c>
      <c r="G57" s="138">
        <f t="shared" si="6"/>
        <v>0</v>
      </c>
      <c r="H57" s="270"/>
      <c r="I57" s="138">
        <f t="shared" si="3"/>
        <v>0</v>
      </c>
      <c r="J57" s="200"/>
      <c r="K57" s="145">
        <f t="shared" si="4"/>
        <v>895</v>
      </c>
      <c r="L57" s="231"/>
      <c r="M57" s="203"/>
    </row>
    <row r="58" spans="1:35" x14ac:dyDescent="0.25">
      <c r="B58" s="249" t="str">
        <f t="shared" si="5"/>
        <v>Comune di San Filippo del Mela</v>
      </c>
      <c r="C58" s="144">
        <f t="shared" si="1"/>
        <v>766.94100000000003</v>
      </c>
      <c r="D58" s="260">
        <v>0</v>
      </c>
      <c r="E58" s="100">
        <f t="shared" si="2"/>
        <v>0</v>
      </c>
      <c r="F58" s="259">
        <v>0</v>
      </c>
      <c r="G58" s="260">
        <v>0</v>
      </c>
      <c r="H58" s="270"/>
      <c r="I58" s="260">
        <v>0</v>
      </c>
      <c r="J58" s="200"/>
      <c r="K58" s="145">
        <f t="shared" si="4"/>
        <v>4602</v>
      </c>
      <c r="L58" s="231"/>
      <c r="M58" s="203"/>
    </row>
    <row r="59" spans="1:35" x14ac:dyDescent="0.25">
      <c r="B59" s="249" t="str">
        <f t="shared" si="5"/>
        <v>Comune di Santa Lucia del Mela</v>
      </c>
      <c r="C59" s="144">
        <f t="shared" si="1"/>
        <v>766.94100000000003</v>
      </c>
      <c r="D59" s="260">
        <v>0</v>
      </c>
      <c r="E59" s="100">
        <v>0</v>
      </c>
      <c r="F59" s="259">
        <v>0</v>
      </c>
      <c r="G59" s="260">
        <v>0</v>
      </c>
      <c r="H59" s="270"/>
      <c r="I59" s="138">
        <f t="shared" si="3"/>
        <v>0</v>
      </c>
      <c r="J59" s="200"/>
      <c r="K59" s="145">
        <f t="shared" si="4"/>
        <v>1534</v>
      </c>
      <c r="L59" s="231"/>
      <c r="M59" s="203"/>
    </row>
    <row r="60" spans="1:35" ht="15.75" thickBot="1" x14ac:dyDescent="0.3">
      <c r="B60" s="249" t="str">
        <f t="shared" si="5"/>
        <v>Comune di Venetico</v>
      </c>
      <c r="C60" s="144">
        <f t="shared" si="1"/>
        <v>766.94100000000003</v>
      </c>
      <c r="D60" s="260">
        <v>0</v>
      </c>
      <c r="E60" s="100">
        <f t="shared" si="2"/>
        <v>0</v>
      </c>
      <c r="F60" s="259">
        <v>0</v>
      </c>
      <c r="G60" s="138">
        <f t="shared" si="6"/>
        <v>0</v>
      </c>
      <c r="H60" s="270"/>
      <c r="I60" s="140">
        <f t="shared" si="3"/>
        <v>0</v>
      </c>
      <c r="J60" s="201"/>
      <c r="K60" s="146">
        <f t="shared" si="4"/>
        <v>1023</v>
      </c>
      <c r="L60" s="232"/>
      <c r="M60" s="204"/>
    </row>
    <row r="61" spans="1:35" x14ac:dyDescent="0.25">
      <c r="B61" s="103"/>
    </row>
    <row r="62" spans="1:35" x14ac:dyDescent="0.25">
      <c r="B62" s="103"/>
    </row>
    <row r="64" spans="1:35" x14ac:dyDescent="0.25">
      <c r="B64" s="100" t="s">
        <v>129</v>
      </c>
      <c r="C64" s="205" t="s">
        <v>78</v>
      </c>
    </row>
    <row r="65" spans="2:12" ht="30" x14ac:dyDescent="0.25">
      <c r="B65" s="99" t="s">
        <v>285</v>
      </c>
      <c r="C65" s="206">
        <v>0</v>
      </c>
      <c r="D65" s="149" t="str">
        <f>+IF(AND(C65&gt;0,C65&gt;0.15),"l'incidenza non può essere superiore al 15%","")</f>
        <v/>
      </c>
    </row>
    <row r="66" spans="2:12" x14ac:dyDescent="0.25">
      <c r="B66" s="100" t="s">
        <v>184</v>
      </c>
      <c r="C66" s="126">
        <f>+C65*(SUMPRODUCT(C54:C60,E54:E60)+SUMPRODUCT(C54:C60,F54:F60)+SUMPRODUCT(C54:C60,D54:D60))</f>
        <v>0</v>
      </c>
    </row>
    <row r="69" spans="2:12" x14ac:dyDescent="0.25">
      <c r="B69" s="100" t="s">
        <v>130</v>
      </c>
      <c r="C69" s="205" t="s">
        <v>53</v>
      </c>
    </row>
    <row r="70" spans="2:12" ht="30" x14ac:dyDescent="0.25">
      <c r="B70" s="99" t="s">
        <v>131</v>
      </c>
      <c r="C70" s="207">
        <v>0.03</v>
      </c>
      <c r="D70" s="149" t="str">
        <f>+IF(AND(C70&gt;0,C70&gt;0.08),"l'incidenza non può essere superiore all'8%","")</f>
        <v/>
      </c>
    </row>
    <row r="71" spans="2:12" x14ac:dyDescent="0.25">
      <c r="B71" s="103"/>
      <c r="C71" s="103"/>
    </row>
    <row r="72" spans="2:12" x14ac:dyDescent="0.25">
      <c r="J72" s="160"/>
      <c r="K72" s="160"/>
    </row>
    <row r="73" spans="2:12" ht="60" x14ac:dyDescent="0.25">
      <c r="B73" s="161" t="s">
        <v>252</v>
      </c>
      <c r="C73" s="208"/>
      <c r="D73" s="162" t="str">
        <f>+IF(C73&gt;0.1,"Stando al CCNL, anche considerando un numero di ore maggiore di quello previsto mediamente dalle tabelle del Ministero del Lavoro, il costo/orario medio del personale non può essere ribassato di più che il 10%. ","")</f>
        <v/>
      </c>
      <c r="K73" s="160"/>
      <c r="L73" s="160"/>
    </row>
    <row r="75" spans="2:12" ht="45" x14ac:dyDescent="0.25">
      <c r="B75" s="99" t="s">
        <v>248</v>
      </c>
      <c r="C75" s="205" t="s">
        <v>53</v>
      </c>
    </row>
    <row r="76" spans="2:12" x14ac:dyDescent="0.25">
      <c r="B76" s="103"/>
      <c r="C76" s="104"/>
      <c r="D76" s="104"/>
    </row>
    <row r="77" spans="2:12" x14ac:dyDescent="0.25">
      <c r="B77" s="103"/>
      <c r="C77" s="104"/>
      <c r="D77" s="104"/>
    </row>
    <row r="78" spans="2:12" x14ac:dyDescent="0.25">
      <c r="B78" s="99" t="s">
        <v>134</v>
      </c>
      <c r="C78" s="209">
        <v>0</v>
      </c>
      <c r="D78" s="104"/>
    </row>
    <row r="81" spans="1:13" ht="15.75" thickBot="1" x14ac:dyDescent="0.3">
      <c r="A81" s="102" t="s">
        <v>142</v>
      </c>
    </row>
    <row r="82" spans="1:13" x14ac:dyDescent="0.25">
      <c r="B82" s="102"/>
      <c r="D82" s="286" t="s">
        <v>242</v>
      </c>
      <c r="E82" s="288"/>
      <c r="F82" s="287"/>
      <c r="G82" s="286" t="s">
        <v>244</v>
      </c>
      <c r="H82" s="287"/>
    </row>
    <row r="83" spans="1:13" x14ac:dyDescent="0.25">
      <c r="B83" s="102"/>
      <c r="D83" s="152" t="s">
        <v>245</v>
      </c>
      <c r="E83" s="119" t="s">
        <v>141</v>
      </c>
      <c r="F83" s="153" t="s">
        <v>243</v>
      </c>
      <c r="G83" s="152" t="s">
        <v>246</v>
      </c>
      <c r="H83" s="153" t="s">
        <v>168</v>
      </c>
    </row>
    <row r="84" spans="1:13" ht="30" x14ac:dyDescent="0.25">
      <c r="B84" s="113" t="s">
        <v>198</v>
      </c>
      <c r="C84" s="187" t="s">
        <v>316</v>
      </c>
      <c r="D84" s="154">
        <v>4</v>
      </c>
      <c r="E84" s="156">
        <v>6</v>
      </c>
      <c r="F84" s="155">
        <v>2</v>
      </c>
      <c r="G84" s="154">
        <v>4</v>
      </c>
      <c r="H84" s="155">
        <v>6</v>
      </c>
      <c r="I84" s="227" t="s">
        <v>247</v>
      </c>
      <c r="J84" s="228" t="s">
        <v>249</v>
      </c>
      <c r="K84" s="228" t="s">
        <v>250</v>
      </c>
    </row>
    <row r="85" spans="1:13" ht="30" x14ac:dyDescent="0.25">
      <c r="B85" s="99" t="str">
        <f t="shared" ref="B85:C91" si="7">+B43</f>
        <v>Comune di Gualtieri Sicaminò</v>
      </c>
      <c r="C85" s="99" t="str">
        <f t="shared" si="7"/>
        <v>Servizio di nuova istituzione/utenti aggiuntivi</v>
      </c>
      <c r="D85" s="210"/>
      <c r="E85" s="211"/>
      <c r="F85" s="212"/>
      <c r="G85" s="210"/>
      <c r="H85" s="212">
        <v>5.9</v>
      </c>
      <c r="I85" s="173">
        <f>+SUM(D85:H85)</f>
        <v>5.9</v>
      </c>
      <c r="J85" s="114">
        <f t="shared" ref="J85:J91" si="8">+((C54*D54*$F$132+C54*E54*$F$133+C54*F54*$F$134+C54*J54*$F$135+H54*C54*$F$136+SUM(D54:F54)*C54*$C$65*$F$131)*(1+$C$70)+K54*L54)*IF($H$139&gt;0,1+$C$78,1)</f>
        <v>36258.669656999999</v>
      </c>
      <c r="K85" s="114">
        <f t="shared" ref="K85:K91" si="9">+((C54*D54*$F$132+C54*E54*$F$133+C54*F54*$F$134+C54*J54*$F$135+H54*C54*$F$136+SUM(D54:F54)*C54*$C$65*$F$131)*(1+$C$70)+K54*L54)*IF($H$139&gt;0,1+$C$78,1)-R43*Q43*D43-IF(OR($C$25=$C$192,$C$25=$C$191),M54,0)</f>
        <v>32718.669656999999</v>
      </c>
    </row>
    <row r="86" spans="1:13" ht="30" x14ac:dyDescent="0.25">
      <c r="B86" s="99" t="str">
        <f t="shared" si="7"/>
        <v>Comune di San Filippo del Mela</v>
      </c>
      <c r="C86" s="99" t="str">
        <f t="shared" si="7"/>
        <v>Servizio di nuova istituzione/utenti aggiuntivi</v>
      </c>
      <c r="D86" s="210"/>
      <c r="E86" s="211"/>
      <c r="F86" s="212"/>
      <c r="G86" s="210"/>
      <c r="H86" s="212">
        <v>5.9</v>
      </c>
      <c r="I86" s="173">
        <f t="shared" ref="I86:I91" si="10">+SUM(D86:H86)</f>
        <v>5.9</v>
      </c>
      <c r="J86" s="114">
        <f t="shared" si="8"/>
        <v>57334.515113400012</v>
      </c>
      <c r="K86" s="114">
        <f t="shared" si="9"/>
        <v>53794.515113400012</v>
      </c>
    </row>
    <row r="87" spans="1:13" ht="30" x14ac:dyDescent="0.25">
      <c r="B87" s="99" t="str">
        <f t="shared" si="7"/>
        <v>Comune di Santa Lucia del Mela</v>
      </c>
      <c r="C87" s="99" t="str">
        <f t="shared" si="7"/>
        <v>Servizio di nuova istituzione/utenti aggiuntivi</v>
      </c>
      <c r="D87" s="210"/>
      <c r="E87" s="211"/>
      <c r="F87" s="212"/>
      <c r="G87" s="210"/>
      <c r="H87" s="212">
        <v>5.9</v>
      </c>
      <c r="I87" s="173">
        <f t="shared" si="10"/>
        <v>5.9</v>
      </c>
      <c r="J87" s="114">
        <f t="shared" si="8"/>
        <v>27363.8413272</v>
      </c>
      <c r="K87" s="114">
        <f t="shared" si="9"/>
        <v>26183.8413272</v>
      </c>
    </row>
    <row r="88" spans="1:13" ht="30" x14ac:dyDescent="0.25">
      <c r="B88" s="99" t="str">
        <f t="shared" si="7"/>
        <v>Comune di Venetico</v>
      </c>
      <c r="C88" s="99" t="str">
        <f t="shared" si="7"/>
        <v>Sostegno alla gestione di servizi ed utenti già attivati</v>
      </c>
      <c r="D88" s="210"/>
      <c r="E88" s="211"/>
      <c r="F88" s="212"/>
      <c r="G88" s="210"/>
      <c r="H88" s="212">
        <v>5.9</v>
      </c>
      <c r="I88" s="173">
        <f t="shared" si="10"/>
        <v>5.9</v>
      </c>
      <c r="J88" s="114">
        <f t="shared" si="8"/>
        <v>27363.8413272</v>
      </c>
      <c r="K88" s="114">
        <f t="shared" si="9"/>
        <v>26331.3413272</v>
      </c>
    </row>
    <row r="89" spans="1:13" ht="30" x14ac:dyDescent="0.25">
      <c r="B89" s="99" t="str">
        <f t="shared" si="7"/>
        <v>Comune di San Filippo del Mela</v>
      </c>
      <c r="C89" s="99" t="str">
        <f t="shared" si="7"/>
        <v>Sostegno alla gestione di servizi ed utenti già attivati</v>
      </c>
      <c r="D89" s="210"/>
      <c r="E89" s="211"/>
      <c r="F89" s="212"/>
      <c r="G89" s="210"/>
      <c r="H89" s="212">
        <v>5.9</v>
      </c>
      <c r="I89" s="173">
        <f t="shared" si="10"/>
        <v>5.9</v>
      </c>
      <c r="J89" s="114">
        <f t="shared" si="8"/>
        <v>0</v>
      </c>
      <c r="K89" s="114">
        <f t="shared" si="9"/>
        <v>0</v>
      </c>
    </row>
    <row r="90" spans="1:13" ht="30" x14ac:dyDescent="0.25">
      <c r="B90" s="99" t="str">
        <f t="shared" si="7"/>
        <v>Comune di Santa Lucia del Mela</v>
      </c>
      <c r="C90" s="99" t="str">
        <f t="shared" si="7"/>
        <v>Sostegno alla gestione di servizi ed utenti già attivati</v>
      </c>
      <c r="D90" s="210"/>
      <c r="E90" s="211"/>
      <c r="F90" s="212"/>
      <c r="G90" s="210"/>
      <c r="H90" s="212">
        <v>5.9</v>
      </c>
      <c r="I90" s="173">
        <f t="shared" si="10"/>
        <v>5.9</v>
      </c>
      <c r="J90" s="114">
        <f t="shared" si="8"/>
        <v>0</v>
      </c>
      <c r="K90" s="114">
        <f t="shared" si="9"/>
        <v>0</v>
      </c>
    </row>
    <row r="91" spans="1:13" ht="30.75" thickBot="1" x14ac:dyDescent="0.3">
      <c r="B91" s="99" t="str">
        <f t="shared" si="7"/>
        <v>Comune di Venetico</v>
      </c>
      <c r="C91" s="99" t="str">
        <f t="shared" si="7"/>
        <v>Sostegno alla gestione di servizi ed utenti già attivati</v>
      </c>
      <c r="D91" s="213"/>
      <c r="E91" s="214"/>
      <c r="F91" s="215"/>
      <c r="G91" s="210"/>
      <c r="H91" s="212">
        <v>5.9</v>
      </c>
      <c r="I91" s="173">
        <f t="shared" si="10"/>
        <v>5.9</v>
      </c>
      <c r="J91" s="114">
        <f t="shared" si="8"/>
        <v>0</v>
      </c>
      <c r="K91" s="114">
        <f t="shared" si="9"/>
        <v>0</v>
      </c>
    </row>
    <row r="92" spans="1:13" x14ac:dyDescent="0.25">
      <c r="L92" s="158">
        <f>+SUM(J85:J91)</f>
        <v>148320.8674248</v>
      </c>
      <c r="M92" s="158">
        <f>+SUM(K85:K91)</f>
        <v>139028.3674248</v>
      </c>
    </row>
    <row r="93" spans="1:13" ht="15.75" thickBot="1" x14ac:dyDescent="0.3">
      <c r="L93" s="160"/>
      <c r="M93" s="160"/>
    </row>
    <row r="94" spans="1:13" x14ac:dyDescent="0.25">
      <c r="B94" s="102" t="s">
        <v>323</v>
      </c>
      <c r="D94" s="286" t="s">
        <v>242</v>
      </c>
      <c r="E94" s="288"/>
      <c r="F94" s="287"/>
      <c r="G94" s="286" t="s">
        <v>244</v>
      </c>
      <c r="H94" s="287"/>
      <c r="J94" s="160"/>
      <c r="K94" s="160"/>
    </row>
    <row r="95" spans="1:13" x14ac:dyDescent="0.25">
      <c r="B95" s="102"/>
      <c r="D95" s="152" t="s">
        <v>245</v>
      </c>
      <c r="E95" s="119" t="s">
        <v>141</v>
      </c>
      <c r="F95" s="153" t="s">
        <v>243</v>
      </c>
      <c r="G95" s="152" t="s">
        <v>246</v>
      </c>
      <c r="H95" s="153" t="s">
        <v>168</v>
      </c>
      <c r="J95" s="160"/>
      <c r="K95" s="160"/>
    </row>
    <row r="96" spans="1:13" ht="30" x14ac:dyDescent="0.25">
      <c r="B96" s="99" t="str">
        <f t="shared" ref="B96:C102" si="11">+B85</f>
        <v>Comune di Gualtieri Sicaminò</v>
      </c>
      <c r="C96" s="99" t="str">
        <f t="shared" si="11"/>
        <v>Servizio di nuova istituzione/utenti aggiuntivi</v>
      </c>
      <c r="D96" s="171">
        <f t="shared" ref="D96:H102" si="12">+IF($J85&gt;0,D85*$J85/$I85,0)</f>
        <v>0</v>
      </c>
      <c r="E96" s="171">
        <f t="shared" si="12"/>
        <v>0</v>
      </c>
      <c r="F96" s="171">
        <f t="shared" si="12"/>
        <v>0</v>
      </c>
      <c r="G96" s="171">
        <f t="shared" si="12"/>
        <v>0</v>
      </c>
      <c r="H96" s="174">
        <f t="shared" si="12"/>
        <v>36258.669656999999</v>
      </c>
      <c r="J96" s="160"/>
      <c r="K96" s="160"/>
    </row>
    <row r="97" spans="2:13" ht="30" x14ac:dyDescent="0.25">
      <c r="B97" s="99" t="str">
        <f t="shared" si="11"/>
        <v>Comune di San Filippo del Mela</v>
      </c>
      <c r="C97" s="99" t="str">
        <f t="shared" si="11"/>
        <v>Servizio di nuova istituzione/utenti aggiuntivi</v>
      </c>
      <c r="D97" s="171">
        <f t="shared" si="12"/>
        <v>0</v>
      </c>
      <c r="E97" s="171">
        <f t="shared" si="12"/>
        <v>0</v>
      </c>
      <c r="F97" s="171">
        <f t="shared" si="12"/>
        <v>0</v>
      </c>
      <c r="G97" s="171">
        <f t="shared" si="12"/>
        <v>0</v>
      </c>
      <c r="H97" s="174">
        <f t="shared" si="12"/>
        <v>57334.515113400012</v>
      </c>
      <c r="J97" s="160"/>
      <c r="K97" s="160"/>
    </row>
    <row r="98" spans="2:13" ht="30" x14ac:dyDescent="0.25">
      <c r="B98" s="99" t="str">
        <f t="shared" si="11"/>
        <v>Comune di Santa Lucia del Mela</v>
      </c>
      <c r="C98" s="99" t="str">
        <f t="shared" si="11"/>
        <v>Servizio di nuova istituzione/utenti aggiuntivi</v>
      </c>
      <c r="D98" s="171">
        <f t="shared" si="12"/>
        <v>0</v>
      </c>
      <c r="E98" s="171">
        <f t="shared" si="12"/>
        <v>0</v>
      </c>
      <c r="F98" s="171">
        <f t="shared" si="12"/>
        <v>0</v>
      </c>
      <c r="G98" s="171">
        <f t="shared" si="12"/>
        <v>0</v>
      </c>
      <c r="H98" s="174">
        <f t="shared" si="12"/>
        <v>27363.8413272</v>
      </c>
      <c r="J98" s="160"/>
      <c r="K98" s="160"/>
    </row>
    <row r="99" spans="2:13" ht="30" x14ac:dyDescent="0.25">
      <c r="B99" s="99" t="str">
        <f t="shared" si="11"/>
        <v>Comune di Venetico</v>
      </c>
      <c r="C99" s="99" t="str">
        <f t="shared" si="11"/>
        <v>Sostegno alla gestione di servizi ed utenti già attivati</v>
      </c>
      <c r="D99" s="171">
        <f t="shared" si="12"/>
        <v>0</v>
      </c>
      <c r="E99" s="171">
        <f t="shared" si="12"/>
        <v>0</v>
      </c>
      <c r="F99" s="171">
        <f t="shared" si="12"/>
        <v>0</v>
      </c>
      <c r="G99" s="171">
        <f t="shared" si="12"/>
        <v>0</v>
      </c>
      <c r="H99" s="174">
        <f t="shared" si="12"/>
        <v>27363.8413272</v>
      </c>
      <c r="J99" s="160"/>
      <c r="K99" s="160"/>
    </row>
    <row r="100" spans="2:13" ht="30" x14ac:dyDescent="0.25">
      <c r="B100" s="99" t="str">
        <f t="shared" si="11"/>
        <v>Comune di San Filippo del Mela</v>
      </c>
      <c r="C100" s="99" t="str">
        <f t="shared" si="11"/>
        <v>Sostegno alla gestione di servizi ed utenti già attivati</v>
      </c>
      <c r="D100" s="171">
        <f t="shared" si="12"/>
        <v>0</v>
      </c>
      <c r="E100" s="171">
        <f t="shared" si="12"/>
        <v>0</v>
      </c>
      <c r="F100" s="171">
        <f t="shared" si="12"/>
        <v>0</v>
      </c>
      <c r="G100" s="171">
        <f t="shared" si="12"/>
        <v>0</v>
      </c>
      <c r="H100" s="174">
        <f t="shared" si="12"/>
        <v>0</v>
      </c>
      <c r="J100" s="160"/>
      <c r="K100" s="160"/>
    </row>
    <row r="101" spans="2:13" ht="30" x14ac:dyDescent="0.25">
      <c r="B101" s="99" t="str">
        <f t="shared" si="11"/>
        <v>Comune di Santa Lucia del Mela</v>
      </c>
      <c r="C101" s="99" t="str">
        <f t="shared" si="11"/>
        <v>Sostegno alla gestione di servizi ed utenti già attivati</v>
      </c>
      <c r="D101" s="171">
        <f t="shared" si="12"/>
        <v>0</v>
      </c>
      <c r="E101" s="171">
        <f t="shared" si="12"/>
        <v>0</v>
      </c>
      <c r="F101" s="171">
        <f t="shared" si="12"/>
        <v>0</v>
      </c>
      <c r="G101" s="171">
        <f t="shared" si="12"/>
        <v>0</v>
      </c>
      <c r="H101" s="174">
        <f t="shared" si="12"/>
        <v>0</v>
      </c>
      <c r="J101" s="160"/>
      <c r="K101" s="160"/>
    </row>
    <row r="102" spans="2:13" ht="30.75" thickBot="1" x14ac:dyDescent="0.3">
      <c r="B102" s="99" t="str">
        <f t="shared" si="11"/>
        <v>Comune di Venetico</v>
      </c>
      <c r="C102" s="99" t="str">
        <f t="shared" si="11"/>
        <v>Sostegno alla gestione di servizi ed utenti già attivati</v>
      </c>
      <c r="D102" s="172">
        <f t="shared" si="12"/>
        <v>0</v>
      </c>
      <c r="E102" s="172">
        <f t="shared" si="12"/>
        <v>0</v>
      </c>
      <c r="F102" s="172">
        <f t="shared" si="12"/>
        <v>0</v>
      </c>
      <c r="G102" s="172">
        <f t="shared" si="12"/>
        <v>0</v>
      </c>
      <c r="H102" s="175">
        <f t="shared" si="12"/>
        <v>0</v>
      </c>
      <c r="J102" s="160"/>
      <c r="K102" s="160"/>
    </row>
    <row r="103" spans="2:13" x14ac:dyDescent="0.25">
      <c r="D103" s="176">
        <f>+SUM(D96:D102)</f>
        <v>0</v>
      </c>
      <c r="E103" s="176">
        <f>+SUM(E96:E102)</f>
        <v>0</v>
      </c>
      <c r="F103" s="176">
        <f>+SUM(F96:F102)</f>
        <v>0</v>
      </c>
      <c r="G103" s="176">
        <f>+SUM(G96:G102)</f>
        <v>0</v>
      </c>
      <c r="H103" s="176">
        <f>+SUM(H96:H102)</f>
        <v>148320.8674248</v>
      </c>
      <c r="J103" s="160"/>
      <c r="K103" s="160"/>
    </row>
    <row r="104" spans="2:13" x14ac:dyDescent="0.25">
      <c r="L104" s="160"/>
      <c r="M104" s="160"/>
    </row>
    <row r="105" spans="2:13" ht="15.75" thickBot="1" x14ac:dyDescent="0.3">
      <c r="L105" s="160"/>
      <c r="M105" s="160"/>
    </row>
    <row r="106" spans="2:13" x14ac:dyDescent="0.25">
      <c r="B106" s="102" t="s">
        <v>274</v>
      </c>
      <c r="D106" s="286" t="s">
        <v>242</v>
      </c>
      <c r="E106" s="288"/>
      <c r="F106" s="287"/>
      <c r="G106" s="286" t="s">
        <v>244</v>
      </c>
      <c r="H106" s="287"/>
      <c r="J106" s="160"/>
      <c r="K106" s="160"/>
    </row>
    <row r="107" spans="2:13" x14ac:dyDescent="0.25">
      <c r="B107" s="102"/>
      <c r="D107" s="152" t="s">
        <v>245</v>
      </c>
      <c r="E107" s="119" t="s">
        <v>141</v>
      </c>
      <c r="F107" s="153" t="s">
        <v>243</v>
      </c>
      <c r="G107" s="152" t="s">
        <v>246</v>
      </c>
      <c r="H107" s="153" t="s">
        <v>168</v>
      </c>
      <c r="J107" s="160"/>
      <c r="K107" s="160"/>
    </row>
    <row r="108" spans="2:13" ht="30" x14ac:dyDescent="0.25">
      <c r="B108" s="99" t="str">
        <f t="shared" ref="B108:B114" si="13">+B97</f>
        <v>Comune di San Filippo del Mela</v>
      </c>
      <c r="C108" s="99" t="str">
        <f>+C96</f>
        <v>Servizio di nuova istituzione/utenti aggiuntivi</v>
      </c>
      <c r="D108" s="171">
        <f t="shared" ref="D108:H114" si="14">+IF($K85&gt;0,D85*$K85/$I85,0)</f>
        <v>0</v>
      </c>
      <c r="E108" s="171">
        <f t="shared" si="14"/>
        <v>0</v>
      </c>
      <c r="F108" s="171">
        <f t="shared" si="14"/>
        <v>0</v>
      </c>
      <c r="G108" s="171">
        <f t="shared" si="14"/>
        <v>0</v>
      </c>
      <c r="H108" s="174">
        <f t="shared" si="14"/>
        <v>32718.669656999999</v>
      </c>
      <c r="J108" s="160"/>
      <c r="K108" s="160"/>
    </row>
    <row r="109" spans="2:13" ht="30" x14ac:dyDescent="0.25">
      <c r="B109" s="99" t="str">
        <f t="shared" si="13"/>
        <v>Comune di Santa Lucia del Mela</v>
      </c>
      <c r="C109" s="99" t="str">
        <f t="shared" ref="C109:C114" si="15">+C97</f>
        <v>Servizio di nuova istituzione/utenti aggiuntivi</v>
      </c>
      <c r="D109" s="171">
        <f t="shared" si="14"/>
        <v>0</v>
      </c>
      <c r="E109" s="171">
        <f t="shared" si="14"/>
        <v>0</v>
      </c>
      <c r="F109" s="171">
        <f t="shared" si="14"/>
        <v>0</v>
      </c>
      <c r="G109" s="171">
        <f t="shared" si="14"/>
        <v>0</v>
      </c>
      <c r="H109" s="174">
        <f t="shared" si="14"/>
        <v>53794.515113400012</v>
      </c>
      <c r="J109" s="160"/>
      <c r="K109" s="160"/>
    </row>
    <row r="110" spans="2:13" ht="30" x14ac:dyDescent="0.25">
      <c r="B110" s="99" t="str">
        <f t="shared" si="13"/>
        <v>Comune di Venetico</v>
      </c>
      <c r="C110" s="99" t="str">
        <f t="shared" si="15"/>
        <v>Servizio di nuova istituzione/utenti aggiuntivi</v>
      </c>
      <c r="D110" s="171">
        <f t="shared" si="14"/>
        <v>0</v>
      </c>
      <c r="E110" s="171">
        <f t="shared" si="14"/>
        <v>0</v>
      </c>
      <c r="F110" s="171">
        <f t="shared" si="14"/>
        <v>0</v>
      </c>
      <c r="G110" s="171">
        <f t="shared" si="14"/>
        <v>0</v>
      </c>
      <c r="H110" s="174">
        <f t="shared" si="14"/>
        <v>26183.8413272</v>
      </c>
      <c r="J110" s="160"/>
      <c r="K110" s="160"/>
    </row>
    <row r="111" spans="2:13" ht="30" x14ac:dyDescent="0.25">
      <c r="B111" s="99" t="str">
        <f t="shared" si="13"/>
        <v>Comune di San Filippo del Mela</v>
      </c>
      <c r="C111" s="99" t="str">
        <f t="shared" si="15"/>
        <v>Sostegno alla gestione di servizi ed utenti già attivati</v>
      </c>
      <c r="D111" s="171">
        <f t="shared" si="14"/>
        <v>0</v>
      </c>
      <c r="E111" s="171">
        <f t="shared" si="14"/>
        <v>0</v>
      </c>
      <c r="F111" s="171">
        <f t="shared" si="14"/>
        <v>0</v>
      </c>
      <c r="G111" s="171">
        <f t="shared" si="14"/>
        <v>0</v>
      </c>
      <c r="H111" s="174">
        <f t="shared" si="14"/>
        <v>26331.3413272</v>
      </c>
      <c r="J111" s="160"/>
      <c r="K111" s="160"/>
    </row>
    <row r="112" spans="2:13" ht="30" x14ac:dyDescent="0.25">
      <c r="B112" s="99" t="str">
        <f t="shared" si="13"/>
        <v>Comune di Santa Lucia del Mela</v>
      </c>
      <c r="C112" s="99" t="str">
        <f t="shared" si="15"/>
        <v>Sostegno alla gestione di servizi ed utenti già attivati</v>
      </c>
      <c r="D112" s="171">
        <f t="shared" si="14"/>
        <v>0</v>
      </c>
      <c r="E112" s="171">
        <f t="shared" si="14"/>
        <v>0</v>
      </c>
      <c r="F112" s="171">
        <f t="shared" si="14"/>
        <v>0</v>
      </c>
      <c r="G112" s="171">
        <f t="shared" si="14"/>
        <v>0</v>
      </c>
      <c r="H112" s="174">
        <f t="shared" si="14"/>
        <v>0</v>
      </c>
      <c r="J112" s="160"/>
      <c r="K112" s="160"/>
    </row>
    <row r="113" spans="1:13" ht="30" x14ac:dyDescent="0.25">
      <c r="B113" s="99" t="str">
        <f t="shared" si="13"/>
        <v>Comune di Venetico</v>
      </c>
      <c r="C113" s="99" t="str">
        <f t="shared" si="15"/>
        <v>Sostegno alla gestione di servizi ed utenti già attivati</v>
      </c>
      <c r="D113" s="171">
        <f t="shared" si="14"/>
        <v>0</v>
      </c>
      <c r="E113" s="171">
        <f t="shared" si="14"/>
        <v>0</v>
      </c>
      <c r="F113" s="171">
        <f t="shared" si="14"/>
        <v>0</v>
      </c>
      <c r="G113" s="171">
        <f t="shared" si="14"/>
        <v>0</v>
      </c>
      <c r="H113" s="174">
        <f t="shared" si="14"/>
        <v>0</v>
      </c>
      <c r="J113" s="160"/>
      <c r="K113" s="160"/>
    </row>
    <row r="114" spans="1:13" ht="30.75" thickBot="1" x14ac:dyDescent="0.3">
      <c r="B114" s="99">
        <f t="shared" si="13"/>
        <v>0</v>
      </c>
      <c r="C114" s="99" t="str">
        <f t="shared" si="15"/>
        <v>Sostegno alla gestione di servizi ed utenti già attivati</v>
      </c>
      <c r="D114" s="172">
        <f t="shared" si="14"/>
        <v>0</v>
      </c>
      <c r="E114" s="172">
        <f t="shared" si="14"/>
        <v>0</v>
      </c>
      <c r="F114" s="172">
        <f t="shared" si="14"/>
        <v>0</v>
      </c>
      <c r="G114" s="172">
        <f t="shared" si="14"/>
        <v>0</v>
      </c>
      <c r="H114" s="175">
        <f t="shared" si="14"/>
        <v>0</v>
      </c>
      <c r="J114" s="160"/>
      <c r="K114" s="160"/>
    </row>
    <row r="115" spans="1:13" x14ac:dyDescent="0.25">
      <c r="D115" s="176">
        <f>+SUM(D108:D114)</f>
        <v>0</v>
      </c>
      <c r="E115" s="176">
        <f>+SUM(E108:E114)</f>
        <v>0</v>
      </c>
      <c r="F115" s="176">
        <f>+SUM(F108:F114)</f>
        <v>0</v>
      </c>
      <c r="G115" s="176">
        <f>+SUM(G108:G114)</f>
        <v>0</v>
      </c>
      <c r="H115" s="176">
        <f>+SUM(H108:H114)</f>
        <v>139028.3674248</v>
      </c>
      <c r="J115" s="160"/>
      <c r="K115" s="160"/>
    </row>
    <row r="116" spans="1:13" x14ac:dyDescent="0.25">
      <c r="D116" s="176"/>
      <c r="E116" s="176"/>
      <c r="F116" s="176"/>
      <c r="G116" s="176"/>
      <c r="H116" s="176"/>
      <c r="I116" s="176"/>
      <c r="J116" s="176"/>
      <c r="L116" s="160"/>
      <c r="M116" s="160"/>
    </row>
    <row r="117" spans="1:13" x14ac:dyDescent="0.25">
      <c r="A117" s="186" t="s">
        <v>322</v>
      </c>
      <c r="C117" s="176"/>
      <c r="D117" s="176"/>
      <c r="E117" s="176"/>
      <c r="F117" s="176"/>
      <c r="G117" s="176"/>
      <c r="H117" s="176"/>
      <c r="I117" s="176"/>
      <c r="K117" s="160"/>
      <c r="L117" s="160"/>
    </row>
    <row r="118" spans="1:13" x14ac:dyDescent="0.25">
      <c r="B118" s="290"/>
      <c r="C118" s="291"/>
      <c r="D118" s="292"/>
      <c r="E118" s="176"/>
      <c r="F118" s="176"/>
      <c r="G118" s="176"/>
      <c r="H118" s="176"/>
      <c r="I118" s="176"/>
      <c r="K118" s="160"/>
      <c r="L118" s="160"/>
    </row>
    <row r="119" spans="1:13" x14ac:dyDescent="0.25">
      <c r="B119" s="293"/>
      <c r="C119" s="294"/>
      <c r="D119" s="188" t="s">
        <v>175</v>
      </c>
      <c r="E119" s="176"/>
      <c r="F119" s="176"/>
      <c r="G119" s="176"/>
      <c r="H119" s="176"/>
      <c r="I119" s="176"/>
      <c r="K119" s="160"/>
      <c r="L119" s="160"/>
    </row>
    <row r="120" spans="1:13" x14ac:dyDescent="0.25">
      <c r="B120" s="284" t="s">
        <v>276</v>
      </c>
      <c r="C120" s="285"/>
      <c r="D120" s="258">
        <v>44166</v>
      </c>
      <c r="E120" s="176"/>
      <c r="F120" s="176"/>
      <c r="G120" s="176"/>
      <c r="H120" s="176"/>
      <c r="I120" s="176"/>
      <c r="K120" s="160"/>
      <c r="L120" s="160"/>
    </row>
    <row r="121" spans="1:13" x14ac:dyDescent="0.25">
      <c r="B121" s="284" t="s">
        <v>277</v>
      </c>
      <c r="C121" s="285"/>
      <c r="D121" s="258">
        <v>44166</v>
      </c>
      <c r="E121" s="176"/>
      <c r="F121" s="176"/>
      <c r="G121" s="176"/>
      <c r="H121" s="176"/>
      <c r="I121" s="176"/>
      <c r="K121" s="160"/>
      <c r="L121" s="160"/>
    </row>
    <row r="122" spans="1:13" x14ac:dyDescent="0.25">
      <c r="B122" s="284" t="s">
        <v>278</v>
      </c>
      <c r="C122" s="285"/>
      <c r="D122" s="258">
        <v>44197</v>
      </c>
      <c r="E122" s="176"/>
      <c r="F122" s="176"/>
      <c r="G122" s="176"/>
      <c r="H122" s="176"/>
      <c r="I122" s="176"/>
      <c r="K122" s="160"/>
      <c r="L122" s="160"/>
    </row>
    <row r="123" spans="1:13" x14ac:dyDescent="0.25">
      <c r="B123" s="284" t="s">
        <v>279</v>
      </c>
      <c r="C123" s="285"/>
      <c r="D123" s="258">
        <v>44348</v>
      </c>
      <c r="E123" s="176"/>
      <c r="F123" s="176"/>
      <c r="G123" s="176"/>
      <c r="H123" s="176"/>
      <c r="I123" s="176"/>
      <c r="K123" s="160"/>
      <c r="L123" s="160"/>
    </row>
    <row r="124" spans="1:13" x14ac:dyDescent="0.25">
      <c r="C124" s="176"/>
      <c r="D124" s="176"/>
      <c r="E124" s="176"/>
      <c r="F124" s="176"/>
      <c r="G124" s="176"/>
      <c r="H124" s="176"/>
      <c r="I124" s="176"/>
      <c r="K124" s="160"/>
      <c r="L124" s="160"/>
    </row>
    <row r="125" spans="1:13" x14ac:dyDescent="0.25">
      <c r="C125" s="176"/>
      <c r="D125" s="176"/>
      <c r="E125" s="176"/>
      <c r="F125" s="176"/>
      <c r="G125" s="176"/>
      <c r="H125" s="176"/>
      <c r="I125" s="176"/>
      <c r="K125" s="160"/>
      <c r="L125" s="160"/>
    </row>
    <row r="126" spans="1:13" x14ac:dyDescent="0.25">
      <c r="K126" s="160"/>
      <c r="L126" s="160"/>
    </row>
    <row r="128" spans="1:13" x14ac:dyDescent="0.25">
      <c r="B128" s="103"/>
      <c r="C128" s="103"/>
    </row>
    <row r="129" spans="2:35" x14ac:dyDescent="0.25">
      <c r="B129" s="113" t="s">
        <v>135</v>
      </c>
      <c r="C129" s="100"/>
      <c r="D129" s="100"/>
      <c r="E129" s="100"/>
      <c r="F129" s="100"/>
      <c r="G129" s="100"/>
      <c r="H129" s="100"/>
      <c r="I129" s="103"/>
      <c r="J129" s="103"/>
      <c r="K129" s="103"/>
      <c r="L129" s="103"/>
      <c r="M129" s="103"/>
      <c r="N129" s="103"/>
      <c r="O129" s="103"/>
      <c r="P129" s="103"/>
      <c r="Q129" s="103"/>
      <c r="R129" s="103"/>
      <c r="S129" s="103"/>
    </row>
    <row r="130" spans="2:35" s="102" customFormat="1" x14ac:dyDescent="0.25">
      <c r="B130" s="113"/>
      <c r="C130" s="118" t="s">
        <v>46</v>
      </c>
      <c r="D130" s="118" t="s">
        <v>119</v>
      </c>
      <c r="E130" s="118" t="s">
        <v>18</v>
      </c>
      <c r="F130" s="118" t="s">
        <v>21</v>
      </c>
      <c r="G130" s="118" t="s">
        <v>139</v>
      </c>
      <c r="H130" s="118" t="s">
        <v>24</v>
      </c>
      <c r="I130" s="216"/>
      <c r="J130" s="216"/>
      <c r="K130" s="216"/>
      <c r="L130" s="216"/>
      <c r="M130" s="216"/>
      <c r="N130" s="216"/>
      <c r="O130" s="216"/>
      <c r="P130" s="216"/>
      <c r="Q130" s="216"/>
      <c r="R130" s="216"/>
      <c r="S130" s="216"/>
      <c r="U130" s="102">
        <v>1</v>
      </c>
      <c r="AI130" s="253"/>
    </row>
    <row r="131" spans="2:35" x14ac:dyDescent="0.25">
      <c r="B131" s="100" t="s">
        <v>137</v>
      </c>
      <c r="C131" s="100" t="str">
        <f>+C26</f>
        <v>CCNL Cooperative</v>
      </c>
      <c r="D131" s="100" t="str">
        <f>+IF(C131=$C$194,"D3/E1","D1")</f>
        <v>D3/E1</v>
      </c>
      <c r="E131" s="100"/>
      <c r="F131" s="115">
        <f>+INDEX('CCNL-appoggio'!$L$2:$L$24,MATCH(INPUT!D131,'CCNL-appoggio'!$K$2:$K$24,0))*IF($C$25=$C$192,1-$C$73,1)*IF($C$25=$C$189,1-$C$73,1)</f>
        <v>20.27</v>
      </c>
      <c r="G131" s="115">
        <f>+C66</f>
        <v>0</v>
      </c>
      <c r="H131" s="114">
        <f>+IF(C64=C198,G131*F131,0)</f>
        <v>0</v>
      </c>
      <c r="I131" s="217"/>
      <c r="J131" s="217"/>
      <c r="K131" s="217"/>
      <c r="L131" s="217"/>
      <c r="M131" s="217"/>
      <c r="N131" s="217"/>
      <c r="O131" s="217"/>
      <c r="P131" s="217"/>
      <c r="Q131" s="217"/>
      <c r="R131" s="217"/>
      <c r="S131" s="217"/>
      <c r="U131" s="97">
        <f>+IF(H131&lt;&gt;0,MAX($U$130:U130)+1,0)</f>
        <v>0</v>
      </c>
      <c r="V131" s="97"/>
      <c r="W131" s="96" t="str">
        <f t="shared" ref="W131:W136" si="16">+B131 &amp; " - "&amp;C131&amp; " - " &amp;D131 &amp; " (costo orario " &amp; ROUND(F131,2) &amp; " €/ora)"</f>
        <v>Coordinatore - CCNL Cooperative - D3/E1 (costo orario 20,27 €/ora)</v>
      </c>
    </row>
    <row r="132" spans="2:35" x14ac:dyDescent="0.25">
      <c r="B132" s="100" t="s">
        <v>227</v>
      </c>
      <c r="C132" s="100" t="str">
        <f>+C26</f>
        <v>CCNL Cooperative</v>
      </c>
      <c r="D132" s="100" t="str">
        <f>+IF(C132=$C$194,"D2","C1")</f>
        <v>D2</v>
      </c>
      <c r="E132" s="100"/>
      <c r="F132" s="115">
        <f>+INDEX('CCNL-appoggio'!$L$2:$L$24,MATCH(INPUT!D132,'CCNL-appoggio'!$K$2:$K$24,0))*IF($C$25=$C$192,1-$C$73,1)*IF($C$25=$C$189,1-$C$73,1)</f>
        <v>18.97</v>
      </c>
      <c r="G132" s="115">
        <f>+SUMPRODUCT(D54:D60,C54:C60)</f>
        <v>4601.6459999999997</v>
      </c>
      <c r="H132" s="114">
        <f>+G132*F132</f>
        <v>87293.224619999994</v>
      </c>
      <c r="I132" s="217"/>
      <c r="J132" s="217"/>
      <c r="K132" s="217"/>
      <c r="L132" s="217"/>
      <c r="M132" s="217"/>
      <c r="N132" s="217"/>
      <c r="O132" s="217"/>
      <c r="P132" s="217"/>
      <c r="Q132" s="217"/>
      <c r="R132" s="217"/>
      <c r="S132" s="217"/>
      <c r="U132" s="97">
        <f>+IF(H132&lt;&gt;0,MAX($U$130:U131)+1,0)</f>
        <v>2</v>
      </c>
      <c r="V132" s="97"/>
      <c r="W132" s="96" t="str">
        <f t="shared" si="16"/>
        <v>Educatore Professionale - CCNL Cooperative - D2 (costo orario 18,97 €/ora)</v>
      </c>
    </row>
    <row r="133" spans="2:35" x14ac:dyDescent="0.25">
      <c r="B133" s="100" t="s">
        <v>228</v>
      </c>
      <c r="C133" s="100" t="str">
        <f>+C26</f>
        <v>CCNL Cooperative</v>
      </c>
      <c r="D133" s="100" t="str">
        <f>+IF(C133=$C$194,"C3/D1","C1")</f>
        <v>C3/D1</v>
      </c>
      <c r="E133" s="100"/>
      <c r="F133" s="115">
        <f>+INDEX('CCNL-appoggio'!$L$2:$L$24,MATCH(INPUT!D133,'CCNL-appoggio'!$K$2:$K$24,0))*IF($C$25=$C$192,1-$C$73,1)*IF($C$25=$C$189,1-$C$73,1)</f>
        <v>17.940000000000001</v>
      </c>
      <c r="G133" s="115">
        <f>+SUMPRODUCT(E54:E60,C54:C60)</f>
        <v>0</v>
      </c>
      <c r="H133" s="114">
        <f>+G133*F133</f>
        <v>0</v>
      </c>
      <c r="I133" s="217"/>
      <c r="J133" s="217"/>
      <c r="K133" s="217"/>
      <c r="L133" s="217"/>
      <c r="M133" s="217"/>
      <c r="N133" s="217"/>
      <c r="O133" s="217"/>
      <c r="P133" s="217"/>
      <c r="Q133" s="217"/>
      <c r="R133" s="217"/>
      <c r="S133" s="217"/>
      <c r="U133" s="97">
        <f>+IF(H133&lt;&gt;0,MAX($U$130:U132)+1,0)</f>
        <v>0</v>
      </c>
      <c r="V133" s="97"/>
      <c r="W133" s="96" t="str">
        <f t="shared" si="16"/>
        <v>Educatore  - CCNL Cooperative - C3/D1 (costo orario 17,94 €/ora)</v>
      </c>
    </row>
    <row r="134" spans="2:35" x14ac:dyDescent="0.25">
      <c r="B134" s="100" t="s">
        <v>229</v>
      </c>
      <c r="C134" s="100" t="str">
        <f>+C26</f>
        <v>CCNL Cooperative</v>
      </c>
      <c r="D134" s="100" t="str">
        <f>+IF(C134=$C$194,"B1","A1")</f>
        <v>B1</v>
      </c>
      <c r="E134" s="100"/>
      <c r="F134" s="115">
        <f>+INDEX('CCNL-appoggio'!$L$2:$L$24,MATCH(INPUT!D134,'CCNL-appoggio'!$K$2:$K$24,0))*IF($C$25=$C$192,1-$C$73,1)*IF($C$25=$C$189,1-$C$73,1)</f>
        <v>15.67</v>
      </c>
      <c r="G134" s="115">
        <f>+SUMPRODUCT(C54:C60,F54:F60)</f>
        <v>3067.7640000000001</v>
      </c>
      <c r="H134" s="114">
        <f>+G134*F134</f>
        <v>48071.861880000004</v>
      </c>
      <c r="I134" s="217"/>
      <c r="J134" s="217"/>
      <c r="K134" s="217"/>
      <c r="L134" s="217"/>
      <c r="M134" s="217"/>
      <c r="N134" s="217"/>
      <c r="O134" s="217"/>
      <c r="P134" s="217"/>
      <c r="Q134" s="217"/>
      <c r="R134" s="217"/>
      <c r="S134" s="217"/>
      <c r="U134" s="97">
        <f>+IF(H134&lt;&gt;0,MAX($U$130:U133)+1,0)</f>
        <v>3</v>
      </c>
      <c r="V134" s="97"/>
      <c r="W134" s="96" t="str">
        <f t="shared" si="16"/>
        <v>Ausiliario - CCNL Cooperative - B1 (costo orario 15,67 €/ora)</v>
      </c>
    </row>
    <row r="135" spans="2:35" x14ac:dyDescent="0.25">
      <c r="B135" s="100" t="s">
        <v>231</v>
      </c>
      <c r="C135" s="100" t="str">
        <f>+C26</f>
        <v>CCNL Cooperative</v>
      </c>
      <c r="D135" s="100" t="str">
        <f>+IF(C135=$C$194,"C3/D1","C1")</f>
        <v>C3/D1</v>
      </c>
      <c r="E135" s="100"/>
      <c r="F135" s="115">
        <f>+INDEX('CCNL-appoggio'!$L$2:$L$24,MATCH(INPUT!D135,'CCNL-appoggio'!$K$2:$K$24,0))*IF($C$25=$C$192,1-$C$73,1)*IF($C$25=$C$189,1-$C$73,1)</f>
        <v>17.940000000000001</v>
      </c>
      <c r="G135" s="115">
        <f>+SUMPRODUCT(C54:C60,J54:J60)</f>
        <v>0</v>
      </c>
      <c r="H135" s="114">
        <f>+G135*F135</f>
        <v>0</v>
      </c>
      <c r="I135" s="217"/>
      <c r="J135" s="217"/>
      <c r="K135" s="217"/>
      <c r="L135" s="217"/>
      <c r="M135" s="217"/>
      <c r="N135" s="217"/>
      <c r="O135" s="217"/>
      <c r="P135" s="217"/>
      <c r="Q135" s="217"/>
      <c r="R135" s="217"/>
      <c r="S135" s="217"/>
      <c r="U135" s="97">
        <f>+IF(H135&lt;&gt;0,MAX($U$130:U134)+1,0)</f>
        <v>0</v>
      </c>
      <c r="V135" s="97"/>
      <c r="W135" s="96" t="str">
        <f t="shared" si="16"/>
        <v>Responsabile amministrativo - CCNL Cooperative - C3/D1 (costo orario 17,94 €/ora)</v>
      </c>
    </row>
    <row r="136" spans="2:35" x14ac:dyDescent="0.25">
      <c r="B136" s="100" t="s">
        <v>221</v>
      </c>
      <c r="C136" s="100" t="str">
        <f>+C26</f>
        <v>CCNL Cooperative</v>
      </c>
      <c r="D136" s="100" t="str">
        <f>+IF(C136=$C$194,"C1","B3")</f>
        <v>C1</v>
      </c>
      <c r="E136" s="100"/>
      <c r="F136" s="115">
        <f>+INDEX('CCNL-appoggio'!$L$2:$L$24,MATCH(INPUT!D136,'CCNL-appoggio'!$K$2:$K$24,0))*IF($C$25=$C$192,1-$C$73,1)*IF($C$25=$C$189,1-$C$73,1)</f>
        <v>16.89</v>
      </c>
      <c r="G136" s="115">
        <f>+SUMPRODUCT(C54:C60,H54:H60)</f>
        <v>511.29399999999998</v>
      </c>
      <c r="H136" s="114">
        <f>+G136*F136</f>
        <v>8635.7556600000007</v>
      </c>
      <c r="I136" s="217"/>
      <c r="J136" s="217"/>
      <c r="K136" s="217"/>
      <c r="L136" s="217"/>
      <c r="M136" s="217"/>
      <c r="N136" s="217"/>
      <c r="O136" s="217"/>
      <c r="P136" s="217"/>
      <c r="Q136" s="217"/>
      <c r="R136" s="217"/>
      <c r="S136" s="217"/>
      <c r="U136" s="97">
        <f>+IF(H136&lt;&gt;0,MAX($U$130:U135)+1,0)</f>
        <v>4</v>
      </c>
      <c r="V136" s="97"/>
      <c r="W136" s="96" t="str">
        <f t="shared" si="16"/>
        <v>Cuoco - CCNL Cooperative - C1 (costo orario 16,89 €/ora)</v>
      </c>
    </row>
    <row r="137" spans="2:35" x14ac:dyDescent="0.25">
      <c r="B137" s="100" t="s">
        <v>230</v>
      </c>
      <c r="C137" s="100"/>
      <c r="D137" s="100"/>
      <c r="E137" s="115">
        <f t="array" ref="E137">+SUM(IF(L54:L60&gt;0,K54:K60,0))</f>
        <v>0</v>
      </c>
      <c r="F137" s="115"/>
      <c r="G137" s="115">
        <f>+E137</f>
        <v>0</v>
      </c>
      <c r="H137" s="114">
        <f>+SUMPRODUCT(K54:K60,L54:L60)</f>
        <v>0</v>
      </c>
      <c r="I137" s="217"/>
      <c r="J137" s="217"/>
      <c r="K137" s="217"/>
      <c r="L137" s="217"/>
      <c r="M137" s="217"/>
      <c r="N137" s="217"/>
      <c r="O137" s="217"/>
      <c r="P137" s="217"/>
      <c r="Q137" s="217"/>
      <c r="R137" s="217"/>
      <c r="S137" s="217"/>
      <c r="U137" s="97">
        <f>+IF(H137&lt;&gt;0,MAX($U$130:U136)+1,0)</f>
        <v>0</v>
      </c>
      <c r="V137" s="97" t="s">
        <v>287</v>
      </c>
      <c r="W137" s="96" t="str">
        <f>+B137</f>
        <v>Pasti</v>
      </c>
    </row>
    <row r="138" spans="2:35" x14ac:dyDescent="0.25">
      <c r="B138" s="100" t="s">
        <v>22</v>
      </c>
      <c r="C138" s="100"/>
      <c r="D138" s="100"/>
      <c r="E138" s="101">
        <f>+IF(C69="Si",C70,0)</f>
        <v>0.03</v>
      </c>
      <c r="F138" s="100"/>
      <c r="G138" s="101">
        <f>+E138</f>
        <v>0.03</v>
      </c>
      <c r="H138" s="114">
        <f>+E138*SUM(H131:H136)</f>
        <v>4320.0252647999996</v>
      </c>
      <c r="I138" s="217"/>
      <c r="J138" s="217"/>
      <c r="K138" s="217"/>
      <c r="L138" s="217"/>
      <c r="M138" s="217"/>
      <c r="N138" s="217"/>
      <c r="O138" s="217"/>
      <c r="P138" s="217"/>
      <c r="Q138" s="217"/>
      <c r="R138" s="217"/>
      <c r="S138" s="217"/>
      <c r="U138" s="97">
        <f>+IF(H138&lt;&gt;0,MAX($U$130:U137)+1,0)</f>
        <v>5</v>
      </c>
      <c r="V138" s="97" t="s">
        <v>286</v>
      </c>
      <c r="W138" s="96" t="str">
        <f>+B138</f>
        <v>Spese generali</v>
      </c>
    </row>
    <row r="139" spans="2:35" x14ac:dyDescent="0.25">
      <c r="B139" s="100" t="s">
        <v>23</v>
      </c>
      <c r="C139" s="100"/>
      <c r="D139" s="100"/>
      <c r="E139" s="101">
        <f>+C78</f>
        <v>0</v>
      </c>
      <c r="F139" s="100"/>
      <c r="G139" s="101">
        <f>+E139</f>
        <v>0</v>
      </c>
      <c r="H139" s="114">
        <f>+IF(AND(SUM(R43:R49)=0,C75=C199,C25&lt;&gt;C190),SUM(H131:H138)*E139,0)</f>
        <v>0</v>
      </c>
      <c r="I139" s="217"/>
      <c r="J139" s="217"/>
      <c r="K139" s="217"/>
      <c r="L139" s="217"/>
      <c r="M139" s="217"/>
      <c r="N139" s="217"/>
      <c r="O139" s="217"/>
      <c r="P139" s="217"/>
      <c r="Q139" s="217"/>
      <c r="R139" s="217"/>
      <c r="S139" s="217"/>
      <c r="U139" s="97">
        <f>+IF(H139&lt;&gt;0,MAX($U$130:U138)+1,0)</f>
        <v>0</v>
      </c>
      <c r="V139" s="97" t="s">
        <v>286</v>
      </c>
      <c r="W139" s="96" t="str">
        <f>+B139</f>
        <v>IVA</v>
      </c>
    </row>
    <row r="140" spans="2:35" x14ac:dyDescent="0.25">
      <c r="B140" s="113" t="s">
        <v>182</v>
      </c>
      <c r="C140" s="100"/>
      <c r="D140" s="100"/>
      <c r="E140" s="101"/>
      <c r="F140" s="100"/>
      <c r="G140" s="100"/>
      <c r="H140" s="116">
        <f>+SUM(H131:H139)</f>
        <v>148320.8674248</v>
      </c>
      <c r="I140" s="117"/>
      <c r="J140" s="117"/>
      <c r="K140" s="117"/>
      <c r="L140" s="117"/>
      <c r="M140" s="117"/>
      <c r="N140" s="117"/>
      <c r="O140" s="117"/>
      <c r="P140" s="117"/>
      <c r="Q140" s="117"/>
      <c r="R140" s="117"/>
      <c r="S140" s="117"/>
    </row>
    <row r="141" spans="2:35" x14ac:dyDescent="0.25">
      <c r="B141" s="163" t="s">
        <v>255</v>
      </c>
      <c r="C141" s="100"/>
      <c r="D141" s="100"/>
      <c r="E141" s="101"/>
      <c r="F141" s="100"/>
      <c r="G141" s="100"/>
      <c r="H141" s="164">
        <f>-IF(OR($C$25=$C$191,$C$25=$C$192),SUM(M54:M60),0)</f>
        <v>0</v>
      </c>
      <c r="I141" s="218"/>
      <c r="J141" s="218"/>
      <c r="K141" s="218"/>
      <c r="L141" s="218"/>
      <c r="M141" s="218"/>
      <c r="N141" s="218"/>
      <c r="O141" s="218"/>
      <c r="P141" s="218"/>
      <c r="Q141" s="218"/>
      <c r="R141" s="218"/>
      <c r="S141" s="218"/>
    </row>
    <row r="142" spans="2:35" x14ac:dyDescent="0.25">
      <c r="B142" s="100" t="s">
        <v>136</v>
      </c>
      <c r="C142" s="100"/>
      <c r="D142" s="100"/>
      <c r="E142" s="100"/>
      <c r="F142" s="100"/>
      <c r="G142" s="100"/>
      <c r="H142" s="114">
        <f>-SUMPRODUCT(R43:R49,Q43:Q49,D43:D49)</f>
        <v>-9292.5</v>
      </c>
      <c r="I142" s="217"/>
      <c r="J142" s="217"/>
      <c r="K142" s="217"/>
      <c r="L142" s="217"/>
      <c r="M142" s="217"/>
      <c r="N142" s="217"/>
      <c r="O142" s="217"/>
      <c r="P142" s="217"/>
      <c r="Q142" s="217"/>
      <c r="R142" s="217"/>
      <c r="S142" s="217"/>
      <c r="U142" s="97">
        <v>1</v>
      </c>
    </row>
    <row r="143" spans="2:35" s="102" customFormat="1" x14ac:dyDescent="0.25">
      <c r="B143" s="113" t="s">
        <v>140</v>
      </c>
      <c r="C143" s="113"/>
      <c r="D143" s="113"/>
      <c r="E143" s="113"/>
      <c r="F143" s="113"/>
      <c r="G143" s="113"/>
      <c r="H143" s="116">
        <f>+H140+H142+H141</f>
        <v>139028.3674248</v>
      </c>
      <c r="I143" s="117"/>
      <c r="J143" s="117"/>
      <c r="K143" s="117"/>
      <c r="L143" s="117"/>
      <c r="M143" s="117"/>
      <c r="N143" s="117"/>
      <c r="O143" s="117"/>
      <c r="P143" s="117"/>
      <c r="Q143" s="117"/>
      <c r="R143" s="117"/>
      <c r="S143" s="117"/>
      <c r="T143" s="157"/>
      <c r="AI143" s="253"/>
    </row>
    <row r="144" spans="2:35" s="102" customFormat="1" x14ac:dyDescent="0.25">
      <c r="B144" s="106"/>
      <c r="C144" s="106"/>
      <c r="D144" s="106"/>
      <c r="E144" s="106"/>
      <c r="F144" s="106"/>
      <c r="G144" s="106"/>
      <c r="H144" s="117"/>
      <c r="I144" s="117"/>
      <c r="J144" s="117"/>
      <c r="K144" s="117"/>
      <c r="L144" s="117"/>
      <c r="M144" s="117"/>
      <c r="N144" s="117"/>
      <c r="O144" s="117"/>
      <c r="P144" s="117"/>
      <c r="Q144" s="117"/>
      <c r="R144" s="117"/>
      <c r="S144" s="117"/>
      <c r="AI144" s="253"/>
    </row>
    <row r="145" spans="2:35" s="102" customFormat="1" x14ac:dyDescent="0.25">
      <c r="B145" s="106"/>
      <c r="C145" s="106"/>
      <c r="D145" s="106"/>
      <c r="E145" s="106"/>
      <c r="F145" s="106"/>
      <c r="G145" s="106"/>
      <c r="H145" s="117"/>
      <c r="I145" s="117"/>
      <c r="J145" s="117"/>
      <c r="K145" s="117"/>
      <c r="L145" s="117"/>
      <c r="M145" s="117"/>
      <c r="N145" s="117"/>
      <c r="O145" s="117"/>
      <c r="P145" s="117"/>
      <c r="Q145" s="117"/>
      <c r="R145" s="117"/>
      <c r="S145" s="117"/>
      <c r="AI145" s="253"/>
    </row>
    <row r="146" spans="2:35" s="102" customFormat="1" x14ac:dyDescent="0.25">
      <c r="B146" s="106"/>
      <c r="C146" s="106"/>
      <c r="D146" s="106"/>
      <c r="E146" s="106"/>
      <c r="F146" s="106"/>
      <c r="G146" s="106"/>
      <c r="H146" s="117"/>
      <c r="AI146" s="253"/>
    </row>
    <row r="147" spans="2:35" s="102" customFormat="1" x14ac:dyDescent="0.25">
      <c r="B147" s="106"/>
      <c r="C147" s="106"/>
      <c r="D147" s="106"/>
      <c r="E147" s="106"/>
      <c r="F147" s="106"/>
      <c r="G147" s="106"/>
      <c r="H147" s="117"/>
      <c r="AI147" s="253"/>
    </row>
    <row r="148" spans="2:35" s="102" customFormat="1" x14ac:dyDescent="0.25">
      <c r="B148" s="106"/>
      <c r="C148" s="106"/>
      <c r="D148" s="106"/>
      <c r="E148" s="106"/>
      <c r="F148" s="106"/>
      <c r="G148" s="106"/>
      <c r="H148" s="117"/>
      <c r="AI148" s="253"/>
    </row>
    <row r="149" spans="2:35" s="102" customFormat="1" hidden="1" x14ac:dyDescent="0.25">
      <c r="B149" s="106"/>
      <c r="C149" s="106"/>
      <c r="D149" s="106"/>
      <c r="E149" s="106"/>
      <c r="F149" s="106"/>
      <c r="G149" s="106"/>
      <c r="H149" s="117"/>
      <c r="AI149" s="253"/>
    </row>
    <row r="150" spans="2:35" hidden="1" x14ac:dyDescent="0.25"/>
    <row r="151" spans="2:35" s="97" customFormat="1" hidden="1" x14ac:dyDescent="0.25">
      <c r="C151" s="98" t="s">
        <v>75</v>
      </c>
      <c r="AI151" s="252"/>
    </row>
    <row r="152" spans="2:35" s="97" customFormat="1" hidden="1" x14ac:dyDescent="0.25">
      <c r="C152" s="98" t="s">
        <v>76</v>
      </c>
      <c r="AI152" s="252"/>
    </row>
    <row r="153" spans="2:35" s="97" customFormat="1" hidden="1" x14ac:dyDescent="0.25">
      <c r="C153" s="98" t="s">
        <v>50</v>
      </c>
      <c r="AI153" s="252"/>
    </row>
    <row r="154" spans="2:35" s="97" customFormat="1" hidden="1" x14ac:dyDescent="0.25">
      <c r="C154" s="98" t="s">
        <v>77</v>
      </c>
      <c r="AI154" s="252"/>
    </row>
    <row r="155" spans="2:35" hidden="1" x14ac:dyDescent="0.25"/>
    <row r="156" spans="2:35" s="97" customFormat="1" hidden="1" x14ac:dyDescent="0.25">
      <c r="B156" s="97">
        <v>1</v>
      </c>
      <c r="C156" s="98" t="s">
        <v>187</v>
      </c>
      <c r="AI156" s="252"/>
    </row>
    <row r="157" spans="2:35" s="97" customFormat="1" hidden="1" x14ac:dyDescent="0.25">
      <c r="B157" s="97">
        <v>2</v>
      </c>
      <c r="C157" s="98" t="s">
        <v>188</v>
      </c>
      <c r="AI157" s="252"/>
    </row>
    <row r="158" spans="2:35" hidden="1" x14ac:dyDescent="0.25"/>
    <row r="159" spans="2:35" s="97" customFormat="1" hidden="1" x14ac:dyDescent="0.25">
      <c r="C159" s="98" t="s">
        <v>200</v>
      </c>
      <c r="AI159" s="252"/>
    </row>
    <row r="160" spans="2:35" s="97" customFormat="1" hidden="1" x14ac:dyDescent="0.25">
      <c r="C160" s="98" t="s">
        <v>201</v>
      </c>
      <c r="AI160" s="252"/>
    </row>
    <row r="161" spans="1:35" s="97" customFormat="1" hidden="1" x14ac:dyDescent="0.25">
      <c r="C161" s="98" t="s">
        <v>224</v>
      </c>
      <c r="AI161" s="252"/>
    </row>
    <row r="162" spans="1:35" s="97" customFormat="1" hidden="1" x14ac:dyDescent="0.25">
      <c r="C162" s="98" t="s">
        <v>202</v>
      </c>
      <c r="AI162" s="252"/>
    </row>
    <row r="163" spans="1:35" s="97" customFormat="1" hidden="1" x14ac:dyDescent="0.25">
      <c r="A163" s="159">
        <f>+MAX(A164:A179)</f>
        <v>4</v>
      </c>
      <c r="C163" s="98"/>
      <c r="AI163" s="252"/>
    </row>
    <row r="164" spans="1:35" s="97" customFormat="1" hidden="1" x14ac:dyDescent="0.25">
      <c r="A164" s="97">
        <f>+IF($C$25=B164,1,0)</f>
        <v>1</v>
      </c>
      <c r="B164" s="98" t="str">
        <f>+$C$188</f>
        <v>appalto di servizio ex D.lgs 163/2006 e ss.mm.ii. da bandire</v>
      </c>
      <c r="C164" s="98" t="str">
        <f>+C159</f>
        <v>Servizio di nuova istituzione/utenti aggiuntivi</v>
      </c>
      <c r="AI164" s="252"/>
    </row>
    <row r="165" spans="1:35" s="97" customFormat="1" hidden="1" x14ac:dyDescent="0.25">
      <c r="A165" s="97">
        <f>+IF($C$25=B165,MAX($A$164:A164)+1,0)</f>
        <v>2</v>
      </c>
      <c r="B165" s="98" t="str">
        <f>+$C$188</f>
        <v>appalto di servizio ex D.lgs 163/2006 e ss.mm.ii. da bandire</v>
      </c>
      <c r="C165" s="98" t="str">
        <f>+C160</f>
        <v>Estensione del periodo di apertura (mensilità aggiuntive)</v>
      </c>
      <c r="AI165" s="252"/>
    </row>
    <row r="166" spans="1:35" s="97" customFormat="1" hidden="1" x14ac:dyDescent="0.25">
      <c r="A166" s="97">
        <f>+IF($C$25=B166,MAX($A$164:A165)+1,0)</f>
        <v>3</v>
      </c>
      <c r="B166" s="98" t="str">
        <f>+$C$188</f>
        <v>appalto di servizio ex D.lgs 163/2006 e ss.mm.ii. da bandire</v>
      </c>
      <c r="C166" s="98" t="str">
        <f>+C161</f>
        <v>Estensione dell'orario di servizio (maggiore orario settimanale)</v>
      </c>
      <c r="AI166" s="252"/>
    </row>
    <row r="167" spans="1:35" s="97" customFormat="1" hidden="1" x14ac:dyDescent="0.25">
      <c r="A167" s="97">
        <f>+IF($C$25=B167,MAX($A$164:A166)+1,0)</f>
        <v>4</v>
      </c>
      <c r="B167" s="98" t="str">
        <f>+$C$188</f>
        <v>appalto di servizio ex D.lgs 163/2006 e ss.mm.ii. da bandire</v>
      </c>
      <c r="C167" s="98" t="str">
        <f>+C162</f>
        <v>Sostegno alla gestione di servizi ed utenti già attivati</v>
      </c>
      <c r="AI167" s="252"/>
    </row>
    <row r="168" spans="1:35" s="97" customFormat="1" hidden="1" x14ac:dyDescent="0.25">
      <c r="A168" s="97">
        <f>+IF($C$25=B168,MAX($A$164:A167)+1,0)</f>
        <v>0</v>
      </c>
      <c r="B168" s="98" t="str">
        <f>+$C$189</f>
        <v>appalto di servizio ex D.lgs 163/2006 e ss.mm.ii. già aggiudicato</v>
      </c>
      <c r="C168" s="98" t="str">
        <f>+C162</f>
        <v>Sostegno alla gestione di servizi ed utenti già attivati</v>
      </c>
      <c r="AI168" s="252"/>
    </row>
    <row r="169" spans="1:35" s="97" customFormat="1" hidden="1" x14ac:dyDescent="0.25">
      <c r="A169" s="97">
        <f>+IF($C$25=B169,MAX($A$164:A168)+1,0)</f>
        <v>0</v>
      </c>
      <c r="B169" s="98" t="str">
        <f>+$C$189</f>
        <v>appalto di servizio ex D.lgs 163/2006 e ss.mm.ii. già aggiudicato</v>
      </c>
      <c r="C169" s="98" t="str">
        <f>+C159</f>
        <v>Servizio di nuova istituzione/utenti aggiuntivi</v>
      </c>
      <c r="AI169" s="252"/>
    </row>
    <row r="170" spans="1:35" s="97" customFormat="1" hidden="1" x14ac:dyDescent="0.25">
      <c r="A170" s="97">
        <f>+IF($C$25=B170,MAX($A$164:A169)+1,0)</f>
        <v>0</v>
      </c>
      <c r="B170" s="98" t="str">
        <f>+$C$189</f>
        <v>appalto di servizio ex D.lgs 163/2006 e ss.mm.ii. già aggiudicato</v>
      </c>
      <c r="C170" s="98" t="str">
        <f>+C160</f>
        <v>Estensione del periodo di apertura (mensilità aggiuntive)</v>
      </c>
      <c r="AI170" s="252"/>
    </row>
    <row r="171" spans="1:35" s="97" customFormat="1" hidden="1" x14ac:dyDescent="0.25">
      <c r="A171" s="97">
        <f>+IF($C$25=B171,MAX($A$164:A170)+1,0)</f>
        <v>0</v>
      </c>
      <c r="B171" s="98" t="str">
        <f>+$C$189</f>
        <v>appalto di servizio ex D.lgs 163/2006 e ss.mm.ii. già aggiudicato</v>
      </c>
      <c r="C171" s="98" t="str">
        <f>+C161</f>
        <v>Estensione dell'orario di servizio (maggiore orario settimanale)</v>
      </c>
      <c r="AI171" s="252"/>
    </row>
    <row r="172" spans="1:35" s="97" customFormat="1" hidden="1" x14ac:dyDescent="0.25">
      <c r="A172" s="97">
        <f>+IF($C$25=B172,MAX($A$164:A171)+1,0)</f>
        <v>0</v>
      </c>
      <c r="B172" s="98" t="str">
        <f>+$C$190</f>
        <v>gestione diretta</v>
      </c>
      <c r="C172" s="98" t="str">
        <f>+C159</f>
        <v>Servizio di nuova istituzione/utenti aggiuntivi</v>
      </c>
      <c r="AI172" s="252"/>
    </row>
    <row r="173" spans="1:35" s="97" customFormat="1" hidden="1" x14ac:dyDescent="0.25">
      <c r="A173" s="97">
        <f>+IF($C$25=B173,MAX($A$164:A172)+1,0)</f>
        <v>0</v>
      </c>
      <c r="B173" s="98" t="str">
        <f>+$C$190</f>
        <v>gestione diretta</v>
      </c>
      <c r="C173" s="98" t="str">
        <f>+C160</f>
        <v>Estensione del periodo di apertura (mensilità aggiuntive)</v>
      </c>
      <c r="AI173" s="252"/>
    </row>
    <row r="174" spans="1:35" s="97" customFormat="1" hidden="1" x14ac:dyDescent="0.25">
      <c r="A174" s="97">
        <f>+IF($C$25=B174,MAX($A$164:A173)+1,0)</f>
        <v>0</v>
      </c>
      <c r="B174" s="98" t="str">
        <f>+$C$190</f>
        <v>gestione diretta</v>
      </c>
      <c r="C174" s="98" t="str">
        <f>+C161</f>
        <v>Estensione dell'orario di servizio (maggiore orario settimanale)</v>
      </c>
      <c r="AI174" s="252"/>
    </row>
    <row r="175" spans="1:35" s="97" customFormat="1" hidden="1" x14ac:dyDescent="0.25">
      <c r="A175" s="97">
        <f>+IF($C$25=B175,MAX($A$164:A174)+1,0)</f>
        <v>0</v>
      </c>
      <c r="B175" s="98" t="str">
        <f>+$C$190</f>
        <v>gestione diretta</v>
      </c>
      <c r="C175" s="98" t="str">
        <f>+C162</f>
        <v>Sostegno alla gestione di servizi ed utenti già attivati</v>
      </c>
      <c r="AI175" s="252"/>
    </row>
    <row r="176" spans="1:35" s="97" customFormat="1" hidden="1" x14ac:dyDescent="0.25">
      <c r="A176" s="97">
        <f>+IF($C$25=B176,MAX($A$164:A175)+1,0)</f>
        <v>0</v>
      </c>
      <c r="B176" s="98" t="str">
        <f>+$C$191</f>
        <v>concessione da bandire</v>
      </c>
      <c r="C176" s="98" t="str">
        <f>+C159</f>
        <v>Servizio di nuova istituzione/utenti aggiuntivi</v>
      </c>
      <c r="AI176" s="252"/>
    </row>
    <row r="177" spans="1:35" s="97" customFormat="1" hidden="1" x14ac:dyDescent="0.25">
      <c r="A177" s="97">
        <f>+IF($C$25=B177,MAX($A$164:A176)+1,0)</f>
        <v>0</v>
      </c>
      <c r="B177" s="98" t="str">
        <f>+$C$191</f>
        <v>concessione da bandire</v>
      </c>
      <c r="C177" s="98" t="str">
        <f>+C162</f>
        <v>Sostegno alla gestione di servizi ed utenti già attivati</v>
      </c>
      <c r="AI177" s="252"/>
    </row>
    <row r="178" spans="1:35" s="97" customFormat="1" hidden="1" x14ac:dyDescent="0.25">
      <c r="A178" s="97">
        <f>+IF($C$25=B178,MAX($A$164:A177)+1,0)</f>
        <v>0</v>
      </c>
      <c r="B178" s="98" t="str">
        <f>+$C$192</f>
        <v>concessione già aggiudicata</v>
      </c>
      <c r="C178" s="98" t="str">
        <f>+C159</f>
        <v>Servizio di nuova istituzione/utenti aggiuntivi</v>
      </c>
      <c r="AI178" s="252"/>
    </row>
    <row r="179" spans="1:35" s="97" customFormat="1" hidden="1" x14ac:dyDescent="0.25">
      <c r="A179" s="97">
        <f>+IF($C$25=B179,MAX($A$164:A178)+1,0)</f>
        <v>0</v>
      </c>
      <c r="B179" s="98" t="str">
        <f>+$C$192</f>
        <v>concessione già aggiudicata</v>
      </c>
      <c r="C179" s="98" t="str">
        <f>+C162</f>
        <v>Sostegno alla gestione di servizi ed utenti già attivati</v>
      </c>
      <c r="AI179" s="252"/>
    </row>
    <row r="180" spans="1:35" s="97" customFormat="1" hidden="1" x14ac:dyDescent="0.25">
      <c r="C180" s="98"/>
      <c r="AI180" s="252"/>
    </row>
    <row r="181" spans="1:35" s="97" customFormat="1" hidden="1" x14ac:dyDescent="0.25">
      <c r="A181" s="97">
        <v>1</v>
      </c>
      <c r="B181" s="97" t="str">
        <f>+IF(ISERROR(INDEX($C$164:$C$179,MATCH(A181,$A$164:$A$179,0))),"",INDEX($C$164:$C$179,MATCH(A181,$A$164:$A$179,0)))</f>
        <v>Servizio di nuova istituzione/utenti aggiuntivi</v>
      </c>
      <c r="C181" s="98"/>
      <c r="AI181" s="252"/>
    </row>
    <row r="182" spans="1:35" s="97" customFormat="1" hidden="1" x14ac:dyDescent="0.25">
      <c r="A182" s="97">
        <v>2</v>
      </c>
      <c r="B182" s="97" t="str">
        <f>+IF(ISERROR(INDEX($C$164:$C$179,MATCH(A182,$A$164:$A$179,0))),"",INDEX($C$164:$C$179,MATCH(A182,$A$164:$A$179,0)))</f>
        <v>Estensione del periodo di apertura (mensilità aggiuntive)</v>
      </c>
      <c r="C182" s="98"/>
      <c r="AI182" s="252"/>
    </row>
    <row r="183" spans="1:35" s="97" customFormat="1" hidden="1" x14ac:dyDescent="0.25">
      <c r="A183" s="97">
        <v>3</v>
      </c>
      <c r="B183" s="97" t="str">
        <f>+IF(ISERROR(INDEX($C$164:$C$179,MATCH(A183,$A$164:$A$179,0))),"",INDEX($C$164:$C$179,MATCH(A183,$A$164:$A$179,0)))</f>
        <v>Estensione dell'orario di servizio (maggiore orario settimanale)</v>
      </c>
      <c r="C183" s="98"/>
      <c r="AI183" s="252"/>
    </row>
    <row r="184" spans="1:35" s="97" customFormat="1" hidden="1" x14ac:dyDescent="0.25">
      <c r="A184" s="97">
        <v>4</v>
      </c>
      <c r="B184" s="97" t="str">
        <f>+IF(ISERROR(INDEX($C$164:$C$179,MATCH(A184,$A$164:$A$179,0))),"",INDEX($C$164:$C$179,MATCH(A184,$A$164:$A$179,0)))</f>
        <v>Sostegno alla gestione di servizi ed utenti già attivati</v>
      </c>
      <c r="C184" s="98"/>
      <c r="AI184" s="252"/>
    </row>
    <row r="185" spans="1:35" s="97" customFormat="1" hidden="1" x14ac:dyDescent="0.25">
      <c r="C185" s="98"/>
      <c r="AI185" s="252"/>
    </row>
    <row r="186" spans="1:35" s="97" customFormat="1" hidden="1" x14ac:dyDescent="0.25">
      <c r="C186" s="98"/>
      <c r="AI186" s="252"/>
    </row>
    <row r="187" spans="1:35" hidden="1" x14ac:dyDescent="0.25"/>
    <row r="188" spans="1:35" s="97" customFormat="1" hidden="1" x14ac:dyDescent="0.25">
      <c r="C188" s="98" t="s">
        <v>186</v>
      </c>
      <c r="AI188" s="252"/>
    </row>
    <row r="189" spans="1:35" s="97" customFormat="1" hidden="1" x14ac:dyDescent="0.25">
      <c r="C189" s="98" t="s">
        <v>185</v>
      </c>
      <c r="AI189" s="252"/>
    </row>
    <row r="190" spans="1:35" s="97" customFormat="1" hidden="1" x14ac:dyDescent="0.25">
      <c r="C190" s="98" t="s">
        <v>133</v>
      </c>
      <c r="AI190" s="252"/>
    </row>
    <row r="191" spans="1:35" s="97" customFormat="1" hidden="1" x14ac:dyDescent="0.25">
      <c r="C191" s="98" t="s">
        <v>253</v>
      </c>
      <c r="AI191" s="252"/>
    </row>
    <row r="192" spans="1:35" s="97" customFormat="1" hidden="1" x14ac:dyDescent="0.25">
      <c r="C192" s="98" t="s">
        <v>254</v>
      </c>
      <c r="AI192" s="252"/>
    </row>
    <row r="193" spans="3:35" hidden="1" x14ac:dyDescent="0.25"/>
    <row r="194" spans="3:35" s="97" customFormat="1" hidden="1" x14ac:dyDescent="0.25">
      <c r="C194" s="98" t="s">
        <v>47</v>
      </c>
      <c r="AI194" s="252"/>
    </row>
    <row r="195" spans="3:35" s="97" customFormat="1" hidden="1" x14ac:dyDescent="0.25">
      <c r="C195" s="98" t="s">
        <v>127</v>
      </c>
      <c r="AI195" s="252"/>
    </row>
    <row r="196" spans="3:35" s="97" customFormat="1" hidden="1" x14ac:dyDescent="0.25">
      <c r="C196" s="98" t="s">
        <v>126</v>
      </c>
      <c r="AI196" s="252"/>
    </row>
    <row r="197" spans="3:35" hidden="1" x14ac:dyDescent="0.25"/>
    <row r="198" spans="3:35" s="97" customFormat="1" hidden="1" x14ac:dyDescent="0.25">
      <c r="C198" s="98" t="s">
        <v>53</v>
      </c>
      <c r="AI198" s="252"/>
    </row>
    <row r="199" spans="3:35" s="97" customFormat="1" hidden="1" x14ac:dyDescent="0.25">
      <c r="C199" s="98" t="s">
        <v>78</v>
      </c>
      <c r="AI199" s="252"/>
    </row>
    <row r="200" spans="3:35" hidden="1" x14ac:dyDescent="0.25"/>
    <row r="201" spans="3:35" s="97" customFormat="1" hidden="1" x14ac:dyDescent="0.25">
      <c r="C201" s="105">
        <v>0</v>
      </c>
      <c r="AI201" s="252"/>
    </row>
    <row r="202" spans="3:35" s="97" customFormat="1" hidden="1" x14ac:dyDescent="0.25">
      <c r="C202" s="105">
        <v>0.04</v>
      </c>
      <c r="AI202" s="252"/>
    </row>
    <row r="203" spans="3:35" s="97" customFormat="1" hidden="1" x14ac:dyDescent="0.25">
      <c r="C203" s="105">
        <v>0.22</v>
      </c>
      <c r="AI203" s="252"/>
    </row>
    <row r="204" spans="3:35" hidden="1" x14ac:dyDescent="0.25"/>
    <row r="205" spans="3:35" s="97" customFormat="1" hidden="1" x14ac:dyDescent="0.25">
      <c r="AI205" s="252"/>
    </row>
    <row r="206" spans="3:35" s="97" customFormat="1" hidden="1" x14ac:dyDescent="0.25">
      <c r="AI206" s="252"/>
    </row>
    <row r="207" spans="3:35" s="97" customFormat="1" hidden="1" x14ac:dyDescent="0.25">
      <c r="AI207" s="252"/>
    </row>
    <row r="208" spans="3:35" s="97" customFormat="1" hidden="1" x14ac:dyDescent="0.25">
      <c r="AI208" s="252"/>
    </row>
    <row r="209" spans="1:35" s="128" customFormat="1" ht="60" hidden="1" x14ac:dyDescent="0.25">
      <c r="A209" s="128">
        <f>+MAX(A210:A225)</f>
        <v>2</v>
      </c>
      <c r="B209" s="129" t="s">
        <v>49</v>
      </c>
      <c r="C209" s="129" t="s">
        <v>169</v>
      </c>
      <c r="D209" s="129" t="s">
        <v>189</v>
      </c>
      <c r="E209" s="129" t="s">
        <v>238</v>
      </c>
      <c r="F209" s="129" t="s">
        <v>239</v>
      </c>
      <c r="G209" s="129" t="s">
        <v>240</v>
      </c>
      <c r="H209" s="129" t="s">
        <v>219</v>
      </c>
      <c r="I209" s="189" t="s">
        <v>324</v>
      </c>
      <c r="J209" s="129" t="s">
        <v>197</v>
      </c>
      <c r="K209" s="129" t="s">
        <v>232</v>
      </c>
      <c r="L209" s="129" t="s">
        <v>233</v>
      </c>
      <c r="M209" s="129" t="s">
        <v>234</v>
      </c>
      <c r="N209" s="129" t="s">
        <v>235</v>
      </c>
      <c r="O209" s="129" t="s">
        <v>236</v>
      </c>
      <c r="P209" s="129" t="s">
        <v>237</v>
      </c>
      <c r="AI209" s="251"/>
    </row>
    <row r="210" spans="1:35" s="97" customFormat="1" hidden="1" x14ac:dyDescent="0.25">
      <c r="A210" s="97">
        <f>+IF(AND(B210=$C$2,C210=$C$13),1,0)</f>
        <v>0</v>
      </c>
      <c r="B210" s="130" t="str">
        <f>+C151</f>
        <v>Calabria</v>
      </c>
      <c r="C210" s="130" t="str">
        <f>+$C$156</f>
        <v>Nido / Micro-nido</v>
      </c>
      <c r="D210" s="130" t="str">
        <f>+$C$156</f>
        <v>Nido / Micro-nido</v>
      </c>
      <c r="E210" s="131">
        <v>6</v>
      </c>
      <c r="F210" s="131">
        <v>7</v>
      </c>
      <c r="G210" s="131">
        <v>10</v>
      </c>
      <c r="H210" s="141">
        <f>+AVERAGE(E210:G210)</f>
        <v>7.666666666666667</v>
      </c>
      <c r="I210" s="132">
        <v>0</v>
      </c>
      <c r="J210" s="131">
        <v>24</v>
      </c>
      <c r="K210" s="131"/>
      <c r="L210" s="131"/>
      <c r="M210" s="151">
        <v>6</v>
      </c>
      <c r="N210" s="151">
        <v>12</v>
      </c>
      <c r="O210" s="150">
        <v>5</v>
      </c>
      <c r="P210" s="150">
        <v>6</v>
      </c>
      <c r="AI210" s="252"/>
    </row>
    <row r="211" spans="1:35" s="97" customFormat="1" hidden="1" x14ac:dyDescent="0.25">
      <c r="A211" s="97">
        <f>+IF(AND(B211=$C$2,C211=$C$13),MAX($A$210:A210)+1,0)</f>
        <v>0</v>
      </c>
      <c r="B211" s="130" t="str">
        <f>+B210</f>
        <v>Calabria</v>
      </c>
      <c r="C211" s="130" t="str">
        <f>+$C$156</f>
        <v>Nido / Micro-nido</v>
      </c>
      <c r="D211" s="131" t="s">
        <v>195</v>
      </c>
      <c r="E211" s="131">
        <v>0</v>
      </c>
      <c r="F211" s="131">
        <v>0</v>
      </c>
      <c r="G211" s="131">
        <v>10</v>
      </c>
      <c r="H211" s="131">
        <v>10</v>
      </c>
      <c r="I211" s="131"/>
      <c r="J211" s="131">
        <v>24</v>
      </c>
      <c r="K211" s="131"/>
      <c r="L211" s="131"/>
      <c r="M211" s="151">
        <v>5</v>
      </c>
      <c r="N211" s="151">
        <v>12</v>
      </c>
      <c r="O211" s="150">
        <v>5</v>
      </c>
      <c r="P211" s="150">
        <v>6</v>
      </c>
      <c r="AI211" s="252"/>
    </row>
    <row r="212" spans="1:35" s="97" customFormat="1" hidden="1" x14ac:dyDescent="0.25">
      <c r="A212" s="97">
        <f>+IF(AND(B212=$C$2,C212=$C$13),MAX($A$210:A211)+1,0)</f>
        <v>0</v>
      </c>
      <c r="B212" s="130" t="str">
        <f>+B211</f>
        <v>Calabria</v>
      </c>
      <c r="C212" s="130" t="str">
        <f>+$C$157</f>
        <v>Servizi integrativi</v>
      </c>
      <c r="D212" s="131" t="s">
        <v>190</v>
      </c>
      <c r="E212" s="131">
        <v>10</v>
      </c>
      <c r="F212" s="131">
        <v>10</v>
      </c>
      <c r="G212" s="131">
        <v>10</v>
      </c>
      <c r="H212" s="131">
        <f t="shared" ref="H212:H225" si="17">+AVERAGE(E212:G212)</f>
        <v>10</v>
      </c>
      <c r="I212" s="131"/>
      <c r="J212" s="131">
        <v>0</v>
      </c>
      <c r="K212" s="131"/>
      <c r="L212" s="131"/>
      <c r="M212" s="151">
        <v>1</v>
      </c>
      <c r="N212" s="151">
        <v>5</v>
      </c>
      <c r="O212" s="150">
        <v>2</v>
      </c>
      <c r="P212" s="150">
        <v>6</v>
      </c>
      <c r="AI212" s="252"/>
    </row>
    <row r="213" spans="1:35" s="97" customFormat="1" hidden="1" x14ac:dyDescent="0.25">
      <c r="A213" s="97">
        <f>+IF(AND(B213=$C$2,C213=$C$13),MAX($A$210:A212)+1,0)</f>
        <v>0</v>
      </c>
      <c r="B213" s="130" t="str">
        <f>+B212</f>
        <v>Calabria</v>
      </c>
      <c r="C213" s="130" t="str">
        <f>+$C$157</f>
        <v>Servizi integrativi</v>
      </c>
      <c r="D213" s="131" t="s">
        <v>191</v>
      </c>
      <c r="E213" s="131">
        <v>10</v>
      </c>
      <c r="F213" s="131">
        <v>10</v>
      </c>
      <c r="G213" s="131">
        <v>10</v>
      </c>
      <c r="H213" s="131">
        <f t="shared" si="17"/>
        <v>10</v>
      </c>
      <c r="I213" s="131"/>
      <c r="J213" s="131">
        <v>25</v>
      </c>
      <c r="K213" s="131"/>
      <c r="L213" s="131"/>
      <c r="M213" s="151">
        <v>1</v>
      </c>
      <c r="N213" s="151">
        <v>5</v>
      </c>
      <c r="O213" s="150">
        <v>1</v>
      </c>
      <c r="P213" s="150">
        <v>6</v>
      </c>
      <c r="AI213" s="252"/>
    </row>
    <row r="214" spans="1:35" s="97" customFormat="1" hidden="1" x14ac:dyDescent="0.25">
      <c r="A214" s="97">
        <f>+IF(AND(B214=$C$2,C214=$C$13),MAX($A$210:A213)+1,0)</f>
        <v>0</v>
      </c>
      <c r="B214" s="130" t="str">
        <f>+C152</f>
        <v>Campania</v>
      </c>
      <c r="C214" s="130" t="str">
        <f>+$C$156</f>
        <v>Nido / Micro-nido</v>
      </c>
      <c r="D214" s="130" t="str">
        <f>+$C$156</f>
        <v>Nido / Micro-nido</v>
      </c>
      <c r="E214" s="131">
        <v>5</v>
      </c>
      <c r="F214" s="131">
        <v>8</v>
      </c>
      <c r="G214" s="131">
        <v>10</v>
      </c>
      <c r="H214" s="131">
        <f t="shared" si="17"/>
        <v>7.666666666666667</v>
      </c>
      <c r="I214" s="132">
        <v>0.3</v>
      </c>
      <c r="J214" s="131">
        <v>20</v>
      </c>
      <c r="K214" s="131"/>
      <c r="L214" s="131"/>
      <c r="M214" s="151">
        <v>5</v>
      </c>
      <c r="N214" s="151">
        <v>10</v>
      </c>
      <c r="O214" s="150">
        <v>5</v>
      </c>
      <c r="P214" s="150">
        <v>6</v>
      </c>
      <c r="AI214" s="252"/>
    </row>
    <row r="215" spans="1:35" s="97" customFormat="1" hidden="1" x14ac:dyDescent="0.25">
      <c r="A215" s="97">
        <f>+IF(AND(B215=$C$2,C215=$C$13),MAX($A$210:A214)+1,0)</f>
        <v>0</v>
      </c>
      <c r="B215" s="130" t="str">
        <f>+B214</f>
        <v>Campania</v>
      </c>
      <c r="C215" s="130" t="str">
        <f>+$C$156</f>
        <v>Nido / Micro-nido</v>
      </c>
      <c r="D215" s="131" t="s">
        <v>195</v>
      </c>
      <c r="E215" s="131">
        <v>0</v>
      </c>
      <c r="F215" s="131">
        <v>0</v>
      </c>
      <c r="G215" s="131">
        <v>10</v>
      </c>
      <c r="H215" s="131">
        <v>10</v>
      </c>
      <c r="I215" s="132">
        <v>0.3</v>
      </c>
      <c r="J215" s="131">
        <v>20</v>
      </c>
      <c r="K215" s="131"/>
      <c r="L215" s="131"/>
      <c r="M215" s="151">
        <v>5</v>
      </c>
      <c r="N215" s="151">
        <v>8</v>
      </c>
      <c r="O215" s="150">
        <v>5</v>
      </c>
      <c r="P215" s="150">
        <v>6</v>
      </c>
      <c r="AI215" s="252"/>
    </row>
    <row r="216" spans="1:35" s="97" customFormat="1" hidden="1" x14ac:dyDescent="0.25">
      <c r="A216" s="97">
        <f>+IF(AND(B216=$C$2,C216=$C$13),MAX($A$210:A215)+1,0)</f>
        <v>0</v>
      </c>
      <c r="B216" s="130" t="str">
        <f>+B215</f>
        <v>Campania</v>
      </c>
      <c r="C216" s="130" t="str">
        <f>+$C$157</f>
        <v>Servizi integrativi</v>
      </c>
      <c r="D216" s="131" t="s">
        <v>192</v>
      </c>
      <c r="E216" s="131">
        <v>5</v>
      </c>
      <c r="F216" s="131">
        <v>8</v>
      </c>
      <c r="G216" s="131">
        <v>10</v>
      </c>
      <c r="H216" s="131">
        <f t="shared" si="17"/>
        <v>7.666666666666667</v>
      </c>
      <c r="I216" s="132">
        <v>0.3</v>
      </c>
      <c r="J216" s="131">
        <v>20</v>
      </c>
      <c r="K216" s="131"/>
      <c r="L216" s="131"/>
      <c r="M216" s="151">
        <v>1</v>
      </c>
      <c r="N216" s="151">
        <v>3</v>
      </c>
      <c r="O216" s="150">
        <v>1</v>
      </c>
      <c r="P216" s="150">
        <v>6</v>
      </c>
      <c r="AI216" s="252"/>
    </row>
    <row r="217" spans="1:35" s="97" customFormat="1" hidden="1" x14ac:dyDescent="0.25">
      <c r="A217" s="97">
        <f>+IF(AND(B217=$C$2,C217=$C$13),MAX($A$210:A216)+1,0)</f>
        <v>0</v>
      </c>
      <c r="B217" s="130" t="str">
        <f>+B216</f>
        <v>Campania</v>
      </c>
      <c r="C217" s="130" t="str">
        <f>+$C$157</f>
        <v>Servizi integrativi</v>
      </c>
      <c r="D217" s="131" t="s">
        <v>193</v>
      </c>
      <c r="E217" s="131">
        <v>15</v>
      </c>
      <c r="F217" s="131">
        <v>15</v>
      </c>
      <c r="G217" s="131">
        <v>15</v>
      </c>
      <c r="H217" s="131">
        <f t="shared" si="17"/>
        <v>15</v>
      </c>
      <c r="I217" s="132">
        <v>0.3</v>
      </c>
      <c r="J217" s="131">
        <v>20</v>
      </c>
      <c r="K217" s="131"/>
      <c r="L217" s="131"/>
      <c r="M217" s="151">
        <v>1</v>
      </c>
      <c r="N217" s="151">
        <v>3</v>
      </c>
      <c r="O217" s="150">
        <v>1</v>
      </c>
      <c r="P217" s="150">
        <v>6</v>
      </c>
      <c r="AI217" s="252"/>
    </row>
    <row r="218" spans="1:35" s="97" customFormat="1" hidden="1" x14ac:dyDescent="0.25">
      <c r="A218" s="97">
        <f>+IF(AND(B218=$C$2,C218=$C$13),MAX($A$210:A217)+1,0)</f>
        <v>0</v>
      </c>
      <c r="B218" s="130" t="str">
        <f>+B217</f>
        <v>Campania</v>
      </c>
      <c r="C218" s="130" t="str">
        <f>+$C$157</f>
        <v>Servizi integrativi</v>
      </c>
      <c r="D218" s="131" t="s">
        <v>194</v>
      </c>
      <c r="E218" s="131">
        <v>5</v>
      </c>
      <c r="F218" s="131">
        <v>5</v>
      </c>
      <c r="G218" s="131">
        <v>8</v>
      </c>
      <c r="H218" s="131">
        <f t="shared" si="17"/>
        <v>6</v>
      </c>
      <c r="I218" s="132">
        <v>0.3</v>
      </c>
      <c r="J218" s="131"/>
      <c r="K218" s="131"/>
      <c r="L218" s="131"/>
      <c r="M218" s="151">
        <v>1</v>
      </c>
      <c r="N218" s="151">
        <v>4</v>
      </c>
      <c r="O218" s="150">
        <v>1</v>
      </c>
      <c r="P218" s="150">
        <v>6</v>
      </c>
      <c r="AI218" s="252"/>
    </row>
    <row r="219" spans="1:35" s="97" customFormat="1" hidden="1" x14ac:dyDescent="0.25">
      <c r="A219" s="97">
        <f>+IF(AND(B219=$C$2,C219=$C$13),MAX($A$210:A218)+1,0)</f>
        <v>1</v>
      </c>
      <c r="B219" s="130" t="str">
        <f>+C153</f>
        <v>Sicilia</v>
      </c>
      <c r="C219" s="130" t="str">
        <f>+$C$156</f>
        <v>Nido / Micro-nido</v>
      </c>
      <c r="D219" s="130" t="str">
        <f>+$C$156</f>
        <v>Nido / Micro-nido</v>
      </c>
      <c r="E219" s="131">
        <v>6</v>
      </c>
      <c r="F219" s="131">
        <v>8</v>
      </c>
      <c r="G219" s="131">
        <v>10</v>
      </c>
      <c r="H219" s="131">
        <f t="shared" si="17"/>
        <v>8</v>
      </c>
      <c r="I219" s="131"/>
      <c r="J219" s="131">
        <v>13</v>
      </c>
      <c r="K219" s="131"/>
      <c r="L219" s="131"/>
      <c r="M219" s="151">
        <v>6</v>
      </c>
      <c r="N219" s="151">
        <v>12</v>
      </c>
      <c r="O219" s="150">
        <v>5</v>
      </c>
      <c r="P219" s="150">
        <v>6</v>
      </c>
      <c r="AI219" s="252"/>
    </row>
    <row r="220" spans="1:35" s="97" customFormat="1" hidden="1" x14ac:dyDescent="0.25">
      <c r="A220" s="97">
        <f>+IF(AND(B220=$C$2,C220=$C$13),MAX($A$210:A219)+1,0)</f>
        <v>2</v>
      </c>
      <c r="B220" s="130" t="str">
        <f>+B219</f>
        <v>Sicilia</v>
      </c>
      <c r="C220" s="130" t="str">
        <f>+$C$156</f>
        <v>Nido / Micro-nido</v>
      </c>
      <c r="D220" s="130" t="str">
        <f>+D211</f>
        <v>Sezioni Primavera</v>
      </c>
      <c r="E220" s="131">
        <v>0</v>
      </c>
      <c r="F220" s="131">
        <v>0</v>
      </c>
      <c r="G220" s="131">
        <v>10</v>
      </c>
      <c r="H220" s="131">
        <v>10</v>
      </c>
      <c r="I220" s="131"/>
      <c r="J220" s="131">
        <v>13</v>
      </c>
      <c r="K220" s="131"/>
      <c r="L220" s="131"/>
      <c r="M220" s="151">
        <v>5</v>
      </c>
      <c r="N220" s="151">
        <v>8</v>
      </c>
      <c r="O220" s="150">
        <v>5</v>
      </c>
      <c r="P220" s="150">
        <v>6</v>
      </c>
      <c r="AI220" s="252"/>
    </row>
    <row r="221" spans="1:35" s="97" customFormat="1" hidden="1" x14ac:dyDescent="0.25">
      <c r="A221" s="97">
        <f>+IF(AND(B221=$C$2,C221=$C$13),MAX($A$210:A220)+1,0)</f>
        <v>0</v>
      </c>
      <c r="B221" s="130" t="str">
        <f>+B219</f>
        <v>Sicilia</v>
      </c>
      <c r="C221" s="130" t="str">
        <f>+$C$157</f>
        <v>Servizi integrativi</v>
      </c>
      <c r="D221" s="131" t="s">
        <v>191</v>
      </c>
      <c r="E221" s="131">
        <v>0</v>
      </c>
      <c r="F221" s="131">
        <v>10</v>
      </c>
      <c r="G221" s="131">
        <v>10</v>
      </c>
      <c r="H221" s="131">
        <v>10</v>
      </c>
      <c r="I221" s="131"/>
      <c r="J221" s="131">
        <v>25</v>
      </c>
      <c r="K221" s="131"/>
      <c r="L221" s="131"/>
      <c r="M221" s="151">
        <v>1</v>
      </c>
      <c r="N221" s="151">
        <v>5</v>
      </c>
      <c r="O221" s="150">
        <v>3</v>
      </c>
      <c r="P221" s="150">
        <v>6</v>
      </c>
      <c r="AI221" s="252"/>
    </row>
    <row r="222" spans="1:35" s="97" customFormat="1" hidden="1" x14ac:dyDescent="0.25">
      <c r="A222" s="97">
        <f>+IF(AND(B222=$C$2,C222=$C$13),MAX($A$210:A221)+1,0)</f>
        <v>0</v>
      </c>
      <c r="B222" s="130" t="str">
        <f>+B221</f>
        <v>Sicilia</v>
      </c>
      <c r="C222" s="130" t="str">
        <f>+$C$157</f>
        <v>Servizi integrativi</v>
      </c>
      <c r="D222" s="131" t="s">
        <v>190</v>
      </c>
      <c r="E222" s="131">
        <v>15</v>
      </c>
      <c r="F222" s="131">
        <v>15</v>
      </c>
      <c r="G222" s="131">
        <v>15</v>
      </c>
      <c r="H222" s="131">
        <f t="shared" si="17"/>
        <v>15</v>
      </c>
      <c r="I222" s="131"/>
      <c r="J222" s="131">
        <v>25</v>
      </c>
      <c r="K222" s="131"/>
      <c r="L222" s="131"/>
      <c r="M222" s="151">
        <v>1</v>
      </c>
      <c r="N222" s="151">
        <v>5</v>
      </c>
      <c r="O222" s="150">
        <v>2</v>
      </c>
      <c r="P222" s="150">
        <v>6</v>
      </c>
      <c r="AI222" s="252"/>
    </row>
    <row r="223" spans="1:35" s="97" customFormat="1" hidden="1" x14ac:dyDescent="0.25">
      <c r="A223" s="97">
        <f>+IF(AND(B223=$C$2,C223=$C$13),MAX($A$210:A222)+1,0)</f>
        <v>0</v>
      </c>
      <c r="B223" s="130" t="str">
        <f>+C154</f>
        <v>Puglia</v>
      </c>
      <c r="C223" s="130" t="str">
        <f>+$C$156</f>
        <v>Nido / Micro-nido</v>
      </c>
      <c r="D223" s="130" t="str">
        <f>+$C$156</f>
        <v>Nido / Micro-nido</v>
      </c>
      <c r="E223" s="131">
        <v>5</v>
      </c>
      <c r="F223" s="131">
        <v>8</v>
      </c>
      <c r="G223" s="131">
        <v>10</v>
      </c>
      <c r="H223" s="131">
        <f t="shared" si="17"/>
        <v>7.666666666666667</v>
      </c>
      <c r="I223" s="131"/>
      <c r="J223" s="131">
        <v>20</v>
      </c>
      <c r="K223" s="131"/>
      <c r="L223" s="131"/>
      <c r="M223" s="151">
        <v>5</v>
      </c>
      <c r="N223" s="151">
        <v>12</v>
      </c>
      <c r="O223" s="150">
        <v>5</v>
      </c>
      <c r="P223" s="150">
        <v>6</v>
      </c>
      <c r="AI223" s="252"/>
    </row>
    <row r="224" spans="1:35" s="97" customFormat="1" hidden="1" x14ac:dyDescent="0.25">
      <c r="A224" s="97">
        <f>+IF(AND(B224=$C$2,C224=$C$13),MAX($A$210:A223)+1,0)</f>
        <v>0</v>
      </c>
      <c r="B224" s="130" t="str">
        <f>+B223</f>
        <v>Puglia</v>
      </c>
      <c r="C224" s="130" t="str">
        <f>+$C$156</f>
        <v>Nido / Micro-nido</v>
      </c>
      <c r="D224" s="131" t="s">
        <v>195</v>
      </c>
      <c r="E224" s="131">
        <v>0</v>
      </c>
      <c r="F224" s="131">
        <v>0</v>
      </c>
      <c r="G224" s="131">
        <v>10</v>
      </c>
      <c r="H224" s="131">
        <v>10</v>
      </c>
      <c r="I224" s="131"/>
      <c r="J224" s="131">
        <v>20</v>
      </c>
      <c r="K224" s="131"/>
      <c r="L224" s="131"/>
      <c r="M224" s="151">
        <v>5</v>
      </c>
      <c r="N224" s="151">
        <v>12</v>
      </c>
      <c r="O224" s="150">
        <v>5</v>
      </c>
      <c r="P224" s="150">
        <v>6</v>
      </c>
      <c r="AI224" s="252"/>
    </row>
    <row r="225" spans="1:35" s="97" customFormat="1" hidden="1" x14ac:dyDescent="0.25">
      <c r="A225" s="97">
        <f>+IF(AND(B225=$C$2,C225=$C$13),MAX($A$210:A224)+1,0)</f>
        <v>0</v>
      </c>
      <c r="B225" s="130" t="str">
        <f>+B224</f>
        <v>Puglia</v>
      </c>
      <c r="C225" s="130" t="str">
        <f>+$C$157</f>
        <v>Servizi integrativi</v>
      </c>
      <c r="D225" s="131" t="s">
        <v>196</v>
      </c>
      <c r="E225" s="131">
        <v>8</v>
      </c>
      <c r="F225" s="131">
        <v>8</v>
      </c>
      <c r="G225" s="131">
        <v>15</v>
      </c>
      <c r="H225" s="131">
        <f t="shared" si="17"/>
        <v>10.333333333333334</v>
      </c>
      <c r="I225" s="131"/>
      <c r="J225" s="131">
        <v>20</v>
      </c>
      <c r="K225" s="131"/>
      <c r="L225" s="131"/>
      <c r="M225" s="151">
        <v>1</v>
      </c>
      <c r="N225" s="151">
        <v>5</v>
      </c>
      <c r="O225" s="150">
        <v>1</v>
      </c>
      <c r="P225" s="150">
        <v>6</v>
      </c>
      <c r="AI225" s="252"/>
    </row>
    <row r="226" spans="1:35" s="97" customFormat="1" hidden="1" x14ac:dyDescent="0.25">
      <c r="B226" s="98"/>
      <c r="AI226" s="252"/>
    </row>
    <row r="227" spans="1:35" s="97" customFormat="1" hidden="1" x14ac:dyDescent="0.25">
      <c r="B227" s="98"/>
      <c r="AI227" s="252"/>
    </row>
    <row r="228" spans="1:35" s="97" customFormat="1" hidden="1" x14ac:dyDescent="0.25">
      <c r="B228" s="98"/>
      <c r="AI228" s="252"/>
    </row>
    <row r="229" spans="1:35" s="97" customFormat="1" hidden="1" x14ac:dyDescent="0.25">
      <c r="A229" s="97">
        <v>1</v>
      </c>
      <c r="B229" s="98" t="str">
        <f t="shared" ref="B229:B236" si="18">+IF(ISERROR(INDEX($D$210:$D$225,MATCH(A229,$A$210:$A$225,0))),"",INDEX($D$210:$D$225,MATCH(A229,$A$210:$A$225,0)))</f>
        <v>Nido / Micro-nido</v>
      </c>
      <c r="AI229" s="252"/>
    </row>
    <row r="230" spans="1:35" s="97" customFormat="1" hidden="1" x14ac:dyDescent="0.25">
      <c r="A230" s="97">
        <v>2</v>
      </c>
      <c r="B230" s="98" t="str">
        <f t="shared" si="18"/>
        <v>Sezioni Primavera</v>
      </c>
      <c r="AI230" s="252"/>
    </row>
    <row r="231" spans="1:35" s="97" customFormat="1" hidden="1" x14ac:dyDescent="0.25">
      <c r="A231" s="97">
        <v>3</v>
      </c>
      <c r="B231" s="98" t="str">
        <f t="shared" si="18"/>
        <v/>
      </c>
      <c r="AI231" s="252"/>
    </row>
    <row r="232" spans="1:35" s="97" customFormat="1" hidden="1" x14ac:dyDescent="0.25">
      <c r="A232" s="97">
        <v>4</v>
      </c>
      <c r="B232" s="98" t="str">
        <f t="shared" si="18"/>
        <v/>
      </c>
      <c r="AI232" s="252"/>
    </row>
    <row r="233" spans="1:35" s="97" customFormat="1" hidden="1" x14ac:dyDescent="0.25">
      <c r="A233" s="97">
        <v>5</v>
      </c>
      <c r="B233" s="98" t="str">
        <f t="shared" si="18"/>
        <v/>
      </c>
      <c r="AI233" s="252"/>
    </row>
    <row r="234" spans="1:35" s="97" customFormat="1" hidden="1" x14ac:dyDescent="0.25">
      <c r="A234" s="97">
        <v>6</v>
      </c>
      <c r="B234" s="98" t="str">
        <f t="shared" si="18"/>
        <v/>
      </c>
      <c r="AI234" s="252"/>
    </row>
    <row r="235" spans="1:35" s="97" customFormat="1" hidden="1" x14ac:dyDescent="0.25">
      <c r="A235" s="97">
        <v>7</v>
      </c>
      <c r="B235" s="98" t="str">
        <f t="shared" si="18"/>
        <v/>
      </c>
      <c r="AI235" s="252"/>
    </row>
    <row r="236" spans="1:35" s="97" customFormat="1" hidden="1" x14ac:dyDescent="0.25">
      <c r="A236" s="97">
        <v>8</v>
      </c>
      <c r="B236" s="98" t="str">
        <f t="shared" si="18"/>
        <v/>
      </c>
      <c r="AI236" s="252"/>
    </row>
    <row r="237" spans="1:35" s="97" customFormat="1" hidden="1" x14ac:dyDescent="0.25">
      <c r="B237" s="98"/>
      <c r="AI237" s="252"/>
    </row>
    <row r="238" spans="1:35" s="97" customFormat="1" ht="60" hidden="1" x14ac:dyDescent="0.25">
      <c r="B238" s="129" t="s">
        <v>49</v>
      </c>
      <c r="C238" s="129" t="s">
        <v>169</v>
      </c>
      <c r="D238" s="129" t="s">
        <v>189</v>
      </c>
      <c r="E238" s="129" t="s">
        <v>238</v>
      </c>
      <c r="F238" s="129" t="s">
        <v>239</v>
      </c>
      <c r="G238" s="129" t="s">
        <v>240</v>
      </c>
      <c r="H238" s="129" t="s">
        <v>219</v>
      </c>
      <c r="I238" s="189" t="s">
        <v>324</v>
      </c>
      <c r="J238" s="129" t="s">
        <v>197</v>
      </c>
      <c r="K238" s="129" t="s">
        <v>232</v>
      </c>
      <c r="L238" s="129" t="s">
        <v>233</v>
      </c>
      <c r="M238" s="129" t="s">
        <v>234</v>
      </c>
      <c r="N238" s="129" t="s">
        <v>235</v>
      </c>
      <c r="O238" s="129" t="s">
        <v>236</v>
      </c>
      <c r="P238" s="129" t="s">
        <v>237</v>
      </c>
      <c r="AI238" s="252"/>
    </row>
    <row r="239" spans="1:35" s="97" customFormat="1" hidden="1" x14ac:dyDescent="0.25">
      <c r="A239" s="131">
        <f>+A14</f>
        <v>1</v>
      </c>
      <c r="B239" s="130" t="str">
        <f t="shared" ref="B239:P239" si="19">+INDEX(B$210:B$225,MATCH($A$239,$A$210:$A$225,0))</f>
        <v>Sicilia</v>
      </c>
      <c r="C239" s="130" t="str">
        <f t="shared" si="19"/>
        <v>Nido / Micro-nido</v>
      </c>
      <c r="D239" s="130" t="str">
        <f t="shared" si="19"/>
        <v>Nido / Micro-nido</v>
      </c>
      <c r="E239" s="130">
        <f t="shared" si="19"/>
        <v>6</v>
      </c>
      <c r="F239" s="130">
        <f t="shared" si="19"/>
        <v>8</v>
      </c>
      <c r="G239" s="130">
        <f t="shared" si="19"/>
        <v>10</v>
      </c>
      <c r="H239" s="130">
        <f t="shared" si="19"/>
        <v>8</v>
      </c>
      <c r="I239" s="132">
        <f t="shared" si="19"/>
        <v>0</v>
      </c>
      <c r="J239" s="130">
        <f t="shared" si="19"/>
        <v>13</v>
      </c>
      <c r="K239" s="130">
        <f t="shared" si="19"/>
        <v>0</v>
      </c>
      <c r="L239" s="130">
        <f t="shared" si="19"/>
        <v>0</v>
      </c>
      <c r="M239" s="151">
        <f t="shared" si="19"/>
        <v>6</v>
      </c>
      <c r="N239" s="151">
        <f t="shared" si="19"/>
        <v>12</v>
      </c>
      <c r="O239" s="150">
        <f t="shared" si="19"/>
        <v>5</v>
      </c>
      <c r="P239" s="150">
        <f t="shared" si="19"/>
        <v>6</v>
      </c>
      <c r="AI239" s="252"/>
    </row>
    <row r="240" spans="1:35" s="97" customFormat="1" hidden="1" x14ac:dyDescent="0.25">
      <c r="B240" s="98"/>
      <c r="AI240" s="252"/>
    </row>
    <row r="241" spans="2:35" s="97" customFormat="1" hidden="1" x14ac:dyDescent="0.25">
      <c r="B241" s="98"/>
      <c r="AI241" s="252"/>
    </row>
    <row r="242" spans="2:35" s="97" customFormat="1" hidden="1" x14ac:dyDescent="0.25">
      <c r="AI242" s="252"/>
    </row>
    <row r="243" spans="2:35" hidden="1" x14ac:dyDescent="0.25"/>
  </sheetData>
  <sheetProtection password="AF2E" sheet="1" objects="1" scenarios="1" formatRows="0" selectLockedCells="1"/>
  <dataConsolidate/>
  <mergeCells count="24">
    <mergeCell ref="P50:R50"/>
    <mergeCell ref="B118:D118"/>
    <mergeCell ref="B119:C119"/>
    <mergeCell ref="B120:C120"/>
    <mergeCell ref="B121:C121"/>
    <mergeCell ref="D82:F82"/>
    <mergeCell ref="G82:H82"/>
    <mergeCell ref="B15:D15"/>
    <mergeCell ref="D41:H41"/>
    <mergeCell ref="C21:E21"/>
    <mergeCell ref="B123:C123"/>
    <mergeCell ref="G94:H94"/>
    <mergeCell ref="D106:F106"/>
    <mergeCell ref="G106:H106"/>
    <mergeCell ref="D94:F94"/>
    <mergeCell ref="B122:C122"/>
    <mergeCell ref="I41:O41"/>
    <mergeCell ref="D52:F52"/>
    <mergeCell ref="G52:H52"/>
    <mergeCell ref="I52:J52"/>
    <mergeCell ref="C17:E17"/>
    <mergeCell ref="C18:E18"/>
    <mergeCell ref="C19:E19"/>
    <mergeCell ref="C20:E20"/>
  </mergeCells>
  <phoneticPr fontId="3" type="noConversion"/>
  <conditionalFormatting sqref="C43:C49">
    <cfRule type="expression" dxfId="22" priority="22" stopIfTrue="1">
      <formula>B43&lt;&gt;""</formula>
    </cfRule>
  </conditionalFormatting>
  <conditionalFormatting sqref="C31:C37">
    <cfRule type="expression" dxfId="21" priority="21" stopIfTrue="1">
      <formula>B31&lt;&gt;""</formula>
    </cfRule>
  </conditionalFormatting>
  <conditionalFormatting sqref="E43:E49">
    <cfRule type="expression" dxfId="20" priority="19" stopIfTrue="1">
      <formula>B43&lt;&gt;""</formula>
    </cfRule>
  </conditionalFormatting>
  <conditionalFormatting sqref="I43:O49">
    <cfRule type="expression" dxfId="19" priority="18" stopIfTrue="1">
      <formula>$B43&lt;&gt;""</formula>
    </cfRule>
  </conditionalFormatting>
  <conditionalFormatting sqref="Q43:R49">
    <cfRule type="expression" dxfId="18" priority="17" stopIfTrue="1">
      <formula>$B43&lt;&gt;""</formula>
    </cfRule>
  </conditionalFormatting>
  <conditionalFormatting sqref="H54:H60">
    <cfRule type="expression" dxfId="17" priority="16" stopIfTrue="1">
      <formula>$B43&lt;&gt;""</formula>
    </cfRule>
  </conditionalFormatting>
  <conditionalFormatting sqref="J54:J60">
    <cfRule type="expression" dxfId="16" priority="15" stopIfTrue="1">
      <formula>$B43&lt;&gt;""</formula>
    </cfRule>
  </conditionalFormatting>
  <conditionalFormatting sqref="L54:L60">
    <cfRule type="expression" dxfId="15" priority="14" stopIfTrue="1">
      <formula>$B43&lt;&gt;""</formula>
    </cfRule>
  </conditionalFormatting>
  <conditionalFormatting sqref="D85:H91">
    <cfRule type="expression" dxfId="14" priority="13" stopIfTrue="1">
      <formula>$B43&lt;&gt;""</formula>
    </cfRule>
  </conditionalFormatting>
  <conditionalFormatting sqref="I85:I91">
    <cfRule type="expression" dxfId="13" priority="11" stopIfTrue="1">
      <formula>I85&lt;&gt;Q43</formula>
    </cfRule>
  </conditionalFormatting>
  <conditionalFormatting sqref="C70:D70">
    <cfRule type="expression" dxfId="12" priority="337" stopIfTrue="1">
      <formula>$C$69=$C$199</formula>
    </cfRule>
  </conditionalFormatting>
  <conditionalFormatting sqref="B73:D73">
    <cfRule type="expression" dxfId="11" priority="338" stopIfTrue="1">
      <formula>OR($C$25=$C$189,$C$25=$C$192)</formula>
    </cfRule>
  </conditionalFormatting>
  <conditionalFormatting sqref="F43:H49">
    <cfRule type="expression" dxfId="10" priority="340" stopIfTrue="1">
      <formula>$E43=$C$198</formula>
    </cfRule>
  </conditionalFormatting>
  <conditionalFormatting sqref="D43:D49">
    <cfRule type="expression" dxfId="9" priority="341" stopIfTrue="1">
      <formula>AND($E43=$C$198,D43&lt;&gt;SUM(F43:H43))</formula>
    </cfRule>
    <cfRule type="expression" dxfId="8" priority="342" stopIfTrue="1">
      <formula>B43&lt;&gt;""</formula>
    </cfRule>
  </conditionalFormatting>
  <conditionalFormatting sqref="M52">
    <cfRule type="expression" dxfId="7" priority="343" stopIfTrue="1">
      <formula>OR($C$25=$C$191,$C$25=$C$192)</formula>
    </cfRule>
  </conditionalFormatting>
  <conditionalFormatting sqref="M54:M60">
    <cfRule type="expression" dxfId="6" priority="344">
      <formula>OR($C$25=$C$191,$C$25=$C$192)</formula>
    </cfRule>
    <cfRule type="expression" dxfId="5" priority="345" stopIfTrue="1">
      <formula>$B43&lt;&gt;""</formula>
    </cfRule>
  </conditionalFormatting>
  <conditionalFormatting sqref="P43:P49">
    <cfRule type="expression" dxfId="4" priority="347" stopIfTrue="1">
      <formula>AND($C43&lt;&gt;$C$161,OR(P43&gt;$P$239,P43&lt;$O$239),$B43&lt;&gt;"")</formula>
    </cfRule>
  </conditionalFormatting>
  <dataValidations count="17">
    <dataValidation type="list" allowBlank="1" showInputMessage="1" showErrorMessage="1" sqref="C69 C75 C64 E43:E49" xr:uid="{00000000-0002-0000-0000-000000000000}">
      <formula1>$C$198:$C$199</formula1>
    </dataValidation>
    <dataValidation type="list" allowBlank="1" showInputMessage="1" showErrorMessage="1" sqref="C78" xr:uid="{00000000-0002-0000-0000-000001000000}">
      <formula1>$C$201:$C$203</formula1>
    </dataValidation>
    <dataValidation type="list" allowBlank="1" showInputMessage="1" showErrorMessage="1" sqref="C25" xr:uid="{00000000-0002-0000-0000-000002000000}">
      <formula1>$C$188:$C$192</formula1>
    </dataValidation>
    <dataValidation type="list" allowBlank="1" showInputMessage="1" showErrorMessage="1" sqref="C26" xr:uid="{00000000-0002-0000-0000-000003000000}">
      <formula1>$C$194:$C$196</formula1>
    </dataValidation>
    <dataValidation type="list" allowBlank="1" showInputMessage="1" showErrorMessage="1" sqref="C2" xr:uid="{00000000-0002-0000-0000-000004000000}">
      <formula1>$C$151:$C$154</formula1>
    </dataValidation>
    <dataValidation type="list" allowBlank="1" showInputMessage="1" showErrorMessage="1" sqref="C13" xr:uid="{00000000-0002-0000-0000-000005000000}">
      <formula1>$C$156:$C$157</formula1>
    </dataValidation>
    <dataValidation type="list" allowBlank="1" showInputMessage="1" showErrorMessage="1" sqref="C14" xr:uid="{00000000-0002-0000-0000-000006000000}">
      <formula1>INDIRECT(ADDRESS(ROW(B229),COLUMN(B229))&amp;":"&amp;ADDRESS(ROW(B229)-1+$A$209,COLUMN(B229)))</formula1>
    </dataValidation>
    <dataValidation type="list" allowBlank="1" showInputMessage="1" showErrorMessage="1" sqref="C43:C49" xr:uid="{00000000-0002-0000-0000-000007000000}">
      <formula1>INDIRECT(ADDRESS(ROW($B$181),COLUMN(B181))&amp;":"&amp;ADDRESS(ROW($B$181)-1+$A$163,COLUMN($B$181)))</formula1>
    </dataValidation>
    <dataValidation type="custom" allowBlank="1" showInputMessage="1" showErrorMessage="1" error="non è possibile prevedere unità equivalenti superiori al limite massimo_x000a_" sqref="J54:J60 H54:H60" xr:uid="{00000000-0002-0000-0000-000008000000}">
      <formula1>H54&lt;=G54</formula1>
    </dataValidation>
    <dataValidation type="custom" allowBlank="1" showInputMessage="1" showErrorMessage="1" error="Il Costo del singolo pasto non può essere superiore a 4€" sqref="L54:L60" xr:uid="{00000000-0002-0000-0000-000009000000}">
      <formula1>L54&lt;=4</formula1>
    </dataValidation>
    <dataValidation type="custom" allowBlank="1" showInputMessage="1" showErrorMessage="1" error="non è possibile prevedere utenti in questa fascia di età per questo servizio" sqref="F43:H49" xr:uid="{00000000-0002-0000-0000-00000A000000}">
      <formula1>OR(F43=0,E$239&gt;0)</formula1>
    </dataValidation>
    <dataValidation allowBlank="1" showInputMessage="1" showErrorMessage="1" error="In umero di ore inserite non corrisponde ai limiti minimi e massimi previsti" sqref="N43:O49" xr:uid="{00000000-0002-0000-0000-00000B000000}"/>
    <dataValidation type="list" allowBlank="1" showInputMessage="1" showErrorMessage="1" sqref="B43:B49" xr:uid="{00000000-0002-0000-0000-00000C000000}">
      <formula1>$B$31:$B$37</formula1>
    </dataValidation>
    <dataValidation type="custom" allowBlank="1" showInputMessage="1" showErrorMessage="1" error="hai inserito un numero di mesi superiori a quelli compresi nel persiodo di riferimento." sqref="D85:H91 D96:H102 D108:H114" xr:uid="{00000000-0002-0000-0000-00000D000000}">
      <formula1>D85&lt;=D$84</formula1>
    </dataValidation>
    <dataValidation type="custom" allowBlank="1" showInputMessage="1" showErrorMessage="1" error="Non è possibile prevedere di sostenere un numero di utenti maggiore di quelli esistenti nell'a.s. 2013-2014" sqref="D43:D49" xr:uid="{00000000-0002-0000-0000-00000E000000}">
      <formula1>IF(C43=$C$162,D43&lt;=INDEX($C$31:$C$37,MATCH(B43,$B$31:$B$37,0)),D43&gt;0)</formula1>
    </dataValidation>
    <dataValidation type="custom" allowBlank="1" showInputMessage="1" showErrorMessage="1" error="Il valore inserito deve essere positivo o pari a zero" sqref="M54:M60" xr:uid="{00000000-0002-0000-0000-00000F000000}">
      <formula1>M54&gt;=0</formula1>
    </dataValidation>
    <dataValidation type="custom" allowBlank="1" showInputMessage="1" showErrorMessage="1" error="In umero di ore inserite non corrisponde ai limiti minimi e massimi previsti" sqref="I43:M49" xr:uid="{00000000-0002-0000-0000-000010000000}">
      <formula1>OR(AND(I43&lt;=$N$239,I43&gt;=$M$239),$C43=$C$161,I43=0)</formula1>
    </dataValidation>
  </dataValidations>
  <pageMargins left="0.7" right="0.7" top="0.75" bottom="0.75" header="0.3" footer="0.3"/>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AE124"/>
  <sheetViews>
    <sheetView topLeftCell="A83" workbookViewId="0">
      <selection activeCell="R107" sqref="R107"/>
    </sheetView>
  </sheetViews>
  <sheetFormatPr defaultColWidth="7.42578125" defaultRowHeight="15" x14ac:dyDescent="0.25"/>
  <cols>
    <col min="15" max="15" width="7.42578125" customWidth="1"/>
    <col min="24" max="24" width="0" hidden="1" customWidth="1"/>
    <col min="25" max="25" width="64.28515625" style="256" hidden="1" customWidth="1"/>
    <col min="26" max="26" width="2.5703125" hidden="1" customWidth="1"/>
    <col min="27" max="27" width="44.5703125" style="256" hidden="1" customWidth="1"/>
    <col min="28" max="28" width="0" hidden="1" customWidth="1"/>
    <col min="29" max="31" width="7.42578125" hidden="1" customWidth="1"/>
    <col min="32" max="32" width="7.42578125" customWidth="1"/>
  </cols>
  <sheetData>
    <row r="1" spans="1:25" ht="32.25" customHeight="1" x14ac:dyDescent="0.25">
      <c r="A1" s="314" t="s">
        <v>256</v>
      </c>
      <c r="B1" s="315"/>
      <c r="C1" s="315"/>
      <c r="D1" s="315"/>
      <c r="E1" s="315"/>
      <c r="F1" s="315"/>
      <c r="G1" s="315"/>
      <c r="H1" s="315"/>
      <c r="I1" s="315"/>
      <c r="J1" s="315"/>
      <c r="K1" s="315"/>
      <c r="L1" s="315"/>
      <c r="M1" s="315"/>
      <c r="N1" s="315"/>
      <c r="O1" s="315"/>
    </row>
    <row r="2" spans="1:25" x14ac:dyDescent="0.25">
      <c r="A2" s="284" t="s">
        <v>257</v>
      </c>
      <c r="B2" s="318"/>
      <c r="C2" s="318"/>
      <c r="D2" s="318"/>
      <c r="E2" s="318"/>
      <c r="F2" s="318"/>
      <c r="G2" s="318"/>
      <c r="H2" s="318"/>
      <c r="I2" s="318"/>
      <c r="J2" s="318"/>
      <c r="K2" s="318"/>
      <c r="L2" s="318"/>
      <c r="M2" s="318"/>
      <c r="N2" s="318"/>
      <c r="O2" s="285"/>
    </row>
    <row r="3" spans="1:25" x14ac:dyDescent="0.25">
      <c r="A3" s="319" t="str">
        <f>+INPUT!C13</f>
        <v>Nido / Micro-nido</v>
      </c>
      <c r="B3" s="320"/>
      <c r="C3" s="320"/>
      <c r="D3" s="320"/>
      <c r="E3" s="320"/>
      <c r="F3" s="320"/>
      <c r="G3" s="320"/>
      <c r="H3" s="320"/>
      <c r="I3" s="320"/>
      <c r="J3" s="320"/>
      <c r="K3" s="320"/>
      <c r="L3" s="320"/>
      <c r="M3" s="320"/>
      <c r="N3" s="320"/>
      <c r="O3" s="321"/>
    </row>
    <row r="4" spans="1:25" x14ac:dyDescent="0.25">
      <c r="A4" s="319" t="str">
        <f>+INPUT!C14</f>
        <v>Nido / Micro-nido</v>
      </c>
      <c r="B4" s="320"/>
      <c r="C4" s="320"/>
      <c r="D4" s="320"/>
      <c r="E4" s="320"/>
      <c r="F4" s="320"/>
      <c r="G4" s="320"/>
      <c r="H4" s="320"/>
      <c r="I4" s="320"/>
      <c r="J4" s="320"/>
      <c r="K4" s="320"/>
      <c r="L4" s="320"/>
      <c r="M4" s="320"/>
      <c r="N4" s="320"/>
      <c r="O4" s="321"/>
    </row>
    <row r="5" spans="1:25" x14ac:dyDescent="0.25">
      <c r="A5" s="290" t="s">
        <v>143</v>
      </c>
      <c r="B5" s="291"/>
      <c r="C5" s="291"/>
      <c r="D5" s="291"/>
      <c r="E5" s="291"/>
      <c r="F5" s="291"/>
      <c r="G5" s="291"/>
      <c r="H5" s="291"/>
      <c r="I5" s="291"/>
      <c r="J5" s="291"/>
      <c r="K5" s="291"/>
      <c r="L5" s="291"/>
      <c r="M5" s="291"/>
      <c r="N5" s="291"/>
      <c r="O5" s="292"/>
    </row>
    <row r="6" spans="1:25" x14ac:dyDescent="0.25">
      <c r="A6" t="s">
        <v>144</v>
      </c>
      <c r="B6" s="317" t="s">
        <v>145</v>
      </c>
      <c r="C6" s="317"/>
      <c r="D6" s="317"/>
      <c r="E6" s="316" t="str">
        <f>+INPUT!C3</f>
        <v xml:space="preserve">sostegno alla gestione del micro nido a titolarità pubblica </v>
      </c>
      <c r="F6" s="316"/>
      <c r="G6" s="316"/>
      <c r="H6" s="316"/>
      <c r="I6" s="316"/>
      <c r="J6" s="316"/>
      <c r="K6" s="316"/>
      <c r="L6" s="316"/>
      <c r="M6" s="316"/>
      <c r="N6" s="316"/>
      <c r="O6" s="316"/>
      <c r="Y6" s="256" t="str">
        <f t="shared" ref="Y6:Y11" si="0">+E6</f>
        <v xml:space="preserve">sostegno alla gestione del micro nido a titolarità pubblica </v>
      </c>
    </row>
    <row r="7" spans="1:25" ht="30" x14ac:dyDescent="0.25">
      <c r="A7" t="s">
        <v>146</v>
      </c>
      <c r="B7" s="317" t="s">
        <v>147</v>
      </c>
      <c r="C7" s="317"/>
      <c r="D7" s="317"/>
      <c r="E7" s="316" t="str">
        <f>+INPUT!C4</f>
        <v>Gualtieri Sicaminò, SanFilippo del Mela, Santa Lucia del Mela  e Venetico</v>
      </c>
      <c r="F7" s="316"/>
      <c r="G7" s="316"/>
      <c r="H7" s="316"/>
      <c r="I7" s="316"/>
      <c r="J7" s="316"/>
      <c r="K7" s="316"/>
      <c r="L7" s="316"/>
      <c r="M7" s="316"/>
      <c r="N7" s="316"/>
      <c r="O7" s="316"/>
      <c r="Y7" s="256" t="str">
        <f t="shared" si="0"/>
        <v>Gualtieri Sicaminò, SanFilippo del Mela, Santa Lucia del Mela  e Venetico</v>
      </c>
    </row>
    <row r="8" spans="1:25" x14ac:dyDescent="0.25">
      <c r="A8" t="s">
        <v>148</v>
      </c>
      <c r="B8" s="317" t="s">
        <v>149</v>
      </c>
      <c r="C8" s="317"/>
      <c r="D8" s="317"/>
      <c r="E8" s="316" t="str">
        <f>+INPUT!C5</f>
        <v>Comune di Milazzo - Capofila del Distretto Socio Sanitario</v>
      </c>
      <c r="F8" s="316"/>
      <c r="G8" s="316"/>
      <c r="H8" s="316"/>
      <c r="I8" s="316"/>
      <c r="J8" s="316"/>
      <c r="K8" s="316"/>
      <c r="L8" s="316"/>
      <c r="M8" s="316"/>
      <c r="N8" s="316"/>
      <c r="O8" s="316"/>
      <c r="Y8" s="256" t="str">
        <f t="shared" si="0"/>
        <v>Comune di Milazzo - Capofila del Distretto Socio Sanitario</v>
      </c>
    </row>
    <row r="9" spans="1:25" x14ac:dyDescent="0.25">
      <c r="A9" t="s">
        <v>150</v>
      </c>
      <c r="B9" s="317" t="s">
        <v>151</v>
      </c>
      <c r="C9" s="317"/>
      <c r="D9" s="317"/>
      <c r="E9" s="316" t="str">
        <f>+INPUT!C6</f>
        <v>Bueti Domenica</v>
      </c>
      <c r="F9" s="316"/>
      <c r="G9" s="316"/>
      <c r="H9" s="316"/>
      <c r="I9" s="316"/>
      <c r="J9" s="316"/>
      <c r="K9" s="316"/>
      <c r="L9" s="316"/>
      <c r="M9" s="316"/>
      <c r="N9" s="316"/>
      <c r="O9" s="316"/>
      <c r="Y9" s="256" t="str">
        <f t="shared" si="0"/>
        <v>Bueti Domenica</v>
      </c>
    </row>
    <row r="10" spans="1:25" x14ac:dyDescent="0.25">
      <c r="A10" t="s">
        <v>152</v>
      </c>
      <c r="B10" s="317" t="s">
        <v>153</v>
      </c>
      <c r="C10" s="317"/>
      <c r="D10" s="317"/>
      <c r="E10" s="316" t="str">
        <f>+INPUT!C7</f>
        <v>0909213259/3343001547</v>
      </c>
      <c r="F10" s="316"/>
      <c r="G10" s="316"/>
      <c r="H10" s="316"/>
      <c r="I10" s="316"/>
      <c r="J10" s="316"/>
      <c r="K10" s="316"/>
      <c r="L10" s="316"/>
      <c r="M10" s="316"/>
      <c r="N10" s="316"/>
      <c r="O10" s="316"/>
      <c r="Y10" s="256" t="str">
        <f t="shared" si="0"/>
        <v>0909213259/3343001547</v>
      </c>
    </row>
    <row r="11" spans="1:25" x14ac:dyDescent="0.25">
      <c r="A11" t="s">
        <v>155</v>
      </c>
      <c r="B11" s="317" t="s">
        <v>154</v>
      </c>
      <c r="C11" s="317"/>
      <c r="D11" s="317"/>
      <c r="E11" s="316" t="str">
        <f>+INPUT!C8</f>
        <v>protocollogenerale@pec.comune.milazzo.me.it; d.bueti@comune.milazzo.me.it</v>
      </c>
      <c r="F11" s="316"/>
      <c r="G11" s="316"/>
      <c r="H11" s="316"/>
      <c r="I11" s="316"/>
      <c r="J11" s="316"/>
      <c r="K11" s="316"/>
      <c r="L11" s="316"/>
      <c r="M11" s="316"/>
      <c r="N11" s="316"/>
      <c r="O11" s="316"/>
      <c r="Y11" s="256" t="str">
        <f t="shared" si="0"/>
        <v>protocollogenerale@pec.comune.milazzo.me.it; d.bueti@comune.milazzo.me.it</v>
      </c>
    </row>
    <row r="12" spans="1:25" x14ac:dyDescent="0.25">
      <c r="A12" t="s">
        <v>156</v>
      </c>
      <c r="B12" s="317" t="s">
        <v>157</v>
      </c>
      <c r="C12" s="317"/>
      <c r="D12" s="317"/>
      <c r="E12" s="317"/>
      <c r="F12" s="317"/>
      <c r="G12" s="317"/>
      <c r="H12" s="317"/>
      <c r="I12" s="317"/>
      <c r="J12" s="317"/>
      <c r="K12" s="325">
        <f>+INPUT!H143</f>
        <v>139028.3674248</v>
      </c>
      <c r="L12" s="326"/>
      <c r="M12" s="326"/>
      <c r="N12" s="326"/>
      <c r="O12" s="327"/>
    </row>
    <row r="13" spans="1:25" x14ac:dyDescent="0.25">
      <c r="B13" s="166" t="s">
        <v>20</v>
      </c>
      <c r="E13" s="147"/>
      <c r="F13" s="148"/>
      <c r="G13" s="148"/>
      <c r="H13" s="148"/>
    </row>
    <row r="14" spans="1:25" x14ac:dyDescent="0.25">
      <c r="B14" s="331" t="str">
        <f>INPUT!C159</f>
        <v>Servizio di nuova istituzione/utenti aggiuntivi</v>
      </c>
      <c r="C14" s="317"/>
      <c r="D14" s="317"/>
      <c r="E14" s="317"/>
      <c r="F14" s="317"/>
      <c r="G14" s="317"/>
      <c r="H14" s="317"/>
      <c r="I14" s="317"/>
      <c r="J14" s="317"/>
      <c r="K14" s="325">
        <f>+SUMPRODUCT((INPUT!$C$43:$C$49='SCHEDA DI INTERVENTO'!B14)*INPUT!$K$85:$K$91)</f>
        <v>112697.02609760001</v>
      </c>
      <c r="L14" s="326"/>
      <c r="M14" s="326"/>
      <c r="N14" s="326"/>
      <c r="O14" s="327"/>
    </row>
    <row r="15" spans="1:25" x14ac:dyDescent="0.25">
      <c r="B15" s="331" t="str">
        <f>INPUT!C160</f>
        <v>Estensione del periodo di apertura (mensilità aggiuntive)</v>
      </c>
      <c r="C15" s="317"/>
      <c r="D15" s="317"/>
      <c r="E15" s="317"/>
      <c r="F15" s="317"/>
      <c r="G15" s="317"/>
      <c r="H15" s="317"/>
      <c r="I15" s="317"/>
      <c r="J15" s="317"/>
      <c r="K15" s="325">
        <f>+SUMPRODUCT((INPUT!$C$43:$C$49='SCHEDA DI INTERVENTO'!B15)*INPUT!$K$85:$K$91)</f>
        <v>0</v>
      </c>
      <c r="L15" s="326"/>
      <c r="M15" s="326"/>
      <c r="N15" s="326"/>
      <c r="O15" s="327"/>
    </row>
    <row r="16" spans="1:25" x14ac:dyDescent="0.25">
      <c r="B16" s="331" t="str">
        <f>INPUT!C161</f>
        <v>Estensione dell'orario di servizio (maggiore orario settimanale)</v>
      </c>
      <c r="C16" s="317"/>
      <c r="D16" s="317"/>
      <c r="E16" s="317"/>
      <c r="F16" s="317"/>
      <c r="G16" s="317"/>
      <c r="H16" s="317"/>
      <c r="I16" s="317"/>
      <c r="J16" s="317"/>
      <c r="K16" s="325">
        <f>+SUMPRODUCT((INPUT!$C$43:$C$49='SCHEDA DI INTERVENTO'!B16)*INPUT!$K$85:$K$91)</f>
        <v>0</v>
      </c>
      <c r="L16" s="326"/>
      <c r="M16" s="326"/>
      <c r="N16" s="326"/>
      <c r="O16" s="327"/>
    </row>
    <row r="17" spans="1:25" x14ac:dyDescent="0.25">
      <c r="B17" s="331" t="str">
        <f>INPUT!C162</f>
        <v>Sostegno alla gestione di servizi ed utenti già attivati</v>
      </c>
      <c r="C17" s="317"/>
      <c r="D17" s="317"/>
      <c r="E17" s="317"/>
      <c r="F17" s="317"/>
      <c r="G17" s="317"/>
      <c r="H17" s="317"/>
      <c r="I17" s="317"/>
      <c r="J17" s="317"/>
      <c r="K17" s="325">
        <f>+SUMPRODUCT((INPUT!$C$43:$C$49='SCHEDA DI INTERVENTO'!B17)*INPUT!$K$85:$K$91)</f>
        <v>26331.3413272</v>
      </c>
      <c r="L17" s="326"/>
      <c r="M17" s="326"/>
      <c r="N17" s="326"/>
      <c r="O17" s="327"/>
    </row>
    <row r="19" spans="1:25" x14ac:dyDescent="0.25">
      <c r="A19" s="290" t="s">
        <v>176</v>
      </c>
      <c r="B19" s="291"/>
      <c r="C19" s="291"/>
      <c r="D19" s="291"/>
      <c r="E19" s="291"/>
      <c r="F19" s="291"/>
      <c r="G19" s="291"/>
      <c r="H19" s="291"/>
      <c r="I19" s="291"/>
      <c r="J19" s="291"/>
      <c r="K19" s="291"/>
      <c r="L19" s="291"/>
      <c r="M19" s="291"/>
      <c r="N19" s="291"/>
      <c r="O19" s="292"/>
    </row>
    <row r="20" spans="1:25" x14ac:dyDescent="0.25">
      <c r="A20" t="s">
        <v>144</v>
      </c>
      <c r="B20" s="20" t="s">
        <v>275</v>
      </c>
      <c r="E20" s="328" t="str">
        <f>+INPUT!C17</f>
        <v xml:space="preserve">L'intervento si pone come obiettivo quello di mantenere i livelli di sevizio per l'intero anno pedagogico 2020/2021 nei nidi e micronidi dei Comuni oggetto della presente scheda di intervento , così come programmati con il precedente finanziamento PAC. Si precisa,  che  per il Comune di Gualtieri Sicaminò, con il finanziamento PAC si potenzia il servizio di n° 15 utenti ; per quanto attiene l'intervento al Comune di Venetico dotato di micro-nido per 15 utenti, non presente nella progettazione di cui al primo riparto, ha in carico 8 bambini e con il sostegno PAC. si elide la lista d'attesa con l'ammissione di ulteriori 7 utenti. Per il Comune di S. Filippo del Mela con capienza autorizzata di 36 bambini ed una presenza attuale di 36 utenti, riportato alla capienza massima grazie all'intervento del Pac , si mantengono i livelli di servizio.  Per l'Asilo Nido di S. Lucia del Mela l'intervento qui proposto è assolutamente identico a quello di cui al primo riparto ed ha come obiettivo di incrementare gli utenti di 8,aumentando il numero degli ammessi al servizio da 12 a 20 utenti. Sostanzialmente tutti gli interventi proposti prevedono l'impiego di personale a completamento degli operatori già in servizio in ciascun Ente, nel rispetto della capienza massima prevista per ogni singola struttura e degli standard determinati dalla normativa regionale, eliminando le liste di attesa. Il reperimento di detto personale  avverrà mediante affidamento diretto secondo quanto previsto dal D.L. 11 settembre 2020 n. 120 di Conversione in legge, con modificazioni, del decreto-legge 16 luglio 2010, n. 76, recante «Misure urgenti per la semplificazione e l’innovazione digitali» (Decreto Semplificazioni), che deroga l'art.36 comma 2 lett. a) del Codice dei Contratti. Per quanto attiene il servizio mensa per tutti gli utenti è garantito con la scheda intervento già appaltata ed avviata con conlcusione prevista a giugno 2021.                      </v>
      </c>
      <c r="F20" s="328"/>
      <c r="G20" s="328"/>
      <c r="H20" s="328"/>
      <c r="I20" s="328"/>
      <c r="J20" s="328"/>
      <c r="K20" s="328"/>
      <c r="L20" s="328"/>
      <c r="M20" s="328"/>
      <c r="N20" s="328"/>
      <c r="O20" s="328"/>
    </row>
    <row r="21" spans="1:25" x14ac:dyDescent="0.25">
      <c r="A21" t="s">
        <v>158</v>
      </c>
      <c r="B21" t="s">
        <v>124</v>
      </c>
      <c r="E21" s="334" t="str">
        <f>+INPUT!C25</f>
        <v>appalto di servizio ex D.lgs 163/2006 e ss.mm.ii. da bandire</v>
      </c>
      <c r="F21" s="334"/>
      <c r="G21" s="334"/>
      <c r="H21" s="334"/>
      <c r="I21" s="334"/>
      <c r="J21" s="334"/>
      <c r="K21" s="334"/>
      <c r="L21" s="334"/>
      <c r="M21" s="334"/>
      <c r="N21" s="334"/>
      <c r="O21" s="334"/>
    </row>
    <row r="22" spans="1:25" x14ac:dyDescent="0.25">
      <c r="A22" t="s">
        <v>148</v>
      </c>
      <c r="B22" t="s">
        <v>258</v>
      </c>
      <c r="E22" s="10"/>
      <c r="F22" s="10"/>
      <c r="G22" s="10"/>
      <c r="H22" s="10"/>
      <c r="I22" s="10"/>
      <c r="J22" s="10"/>
      <c r="K22" s="10"/>
      <c r="L22" s="10"/>
      <c r="M22" s="10"/>
      <c r="N22" s="10"/>
      <c r="O22" s="10"/>
    </row>
    <row r="23" spans="1:25" ht="75" x14ac:dyDescent="0.25">
      <c r="E23" s="316" t="str">
        <f>+INPUT!C18</f>
        <v xml:space="preserve"> 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c r="F23" s="316"/>
      <c r="G23" s="316"/>
      <c r="H23" s="316"/>
      <c r="I23" s="316"/>
      <c r="J23" s="316"/>
      <c r="K23" s="316"/>
      <c r="L23" s="316"/>
      <c r="M23" s="316"/>
      <c r="N23" s="316"/>
      <c r="O23" s="316"/>
      <c r="Y23" s="256" t="str">
        <f>+E23</f>
        <v xml:space="preserve"> 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row>
    <row r="24" spans="1:25" x14ac:dyDescent="0.25">
      <c r="A24" t="s">
        <v>159</v>
      </c>
      <c r="B24" t="s">
        <v>259</v>
      </c>
      <c r="E24" s="179"/>
      <c r="F24" s="179"/>
      <c r="G24" s="179"/>
      <c r="H24" s="179"/>
      <c r="I24" s="179"/>
      <c r="J24" s="179"/>
      <c r="K24" s="179"/>
      <c r="L24" s="179"/>
      <c r="M24" s="179"/>
      <c r="N24" s="179"/>
      <c r="O24" s="179"/>
    </row>
    <row r="25" spans="1:25" x14ac:dyDescent="0.25">
      <c r="E25" s="316" t="str">
        <f>+INPUT!C19</f>
        <v>Non esiste alcuna regolamentazione di livello distrettuale.</v>
      </c>
      <c r="F25" s="316"/>
      <c r="G25" s="316"/>
      <c r="H25" s="316"/>
      <c r="I25" s="316"/>
      <c r="J25" s="316"/>
      <c r="K25" s="316"/>
      <c r="L25" s="316"/>
      <c r="M25" s="316"/>
      <c r="N25" s="316"/>
      <c r="O25" s="316"/>
      <c r="Y25" s="256" t="str">
        <f>+E25</f>
        <v>Non esiste alcuna regolamentazione di livello distrettuale.</v>
      </c>
    </row>
    <row r="26" spans="1:25" x14ac:dyDescent="0.25">
      <c r="A26" t="s">
        <v>152</v>
      </c>
      <c r="B26" t="s">
        <v>260</v>
      </c>
      <c r="E26" s="179"/>
      <c r="F26" s="179"/>
      <c r="G26" s="179"/>
      <c r="H26" s="179"/>
      <c r="I26" s="179"/>
      <c r="J26" s="179"/>
      <c r="K26" s="179"/>
      <c r="L26" s="179"/>
      <c r="M26" s="179"/>
      <c r="N26" s="179"/>
      <c r="O26" s="179"/>
    </row>
    <row r="27" spans="1:25" ht="45" x14ac:dyDescent="0.25">
      <c r="E27" s="316" t="str">
        <f>+INPUT!C20</f>
        <v>La regolazione della compartecipazione dell'utenza viene determinata da ogni Ente annualmente in sede di determinazione delle tariffe dei servizi a domanda individuale.</v>
      </c>
      <c r="F27" s="316"/>
      <c r="G27" s="316"/>
      <c r="H27" s="316"/>
      <c r="I27" s="316"/>
      <c r="J27" s="316"/>
      <c r="K27" s="316"/>
      <c r="L27" s="316"/>
      <c r="M27" s="316"/>
      <c r="N27" s="316"/>
      <c r="O27" s="316"/>
      <c r="Y27" s="256" t="str">
        <f>+E27</f>
        <v>La regolazione della compartecipazione dell'utenza viene determinata da ogni Ente annualmente in sede di determinazione delle tariffe dei servizi a domanda individuale.</v>
      </c>
    </row>
    <row r="28" spans="1:25" x14ac:dyDescent="0.25">
      <c r="A28" t="s">
        <v>160</v>
      </c>
      <c r="B28" t="s">
        <v>261</v>
      </c>
      <c r="E28" s="179"/>
      <c r="F28" s="179"/>
      <c r="G28" s="179"/>
      <c r="H28" s="179"/>
      <c r="I28" s="179"/>
      <c r="J28" s="179"/>
      <c r="K28" s="179"/>
      <c r="L28" s="179"/>
      <c r="M28" s="179"/>
      <c r="N28" s="179"/>
      <c r="O28" s="179"/>
    </row>
    <row r="29" spans="1:25" ht="60" x14ac:dyDescent="0.25">
      <c r="E29" s="316" t="str">
        <f>+INPUT!C21</f>
        <v>Tutti gli Asili Nido del Distretto prevedono una quota di compartecipazione degli utenti che varia in funzione del reddito della famiglia rilevato dall'attestazione ISEE. Sono altresì previste esenzioni per nuclei familiari in condizione di disagio economico.</v>
      </c>
      <c r="F29" s="316"/>
      <c r="G29" s="316"/>
      <c r="H29" s="316"/>
      <c r="I29" s="316"/>
      <c r="J29" s="316"/>
      <c r="K29" s="316"/>
      <c r="L29" s="316"/>
      <c r="M29" s="316"/>
      <c r="N29" s="316"/>
      <c r="O29" s="316"/>
      <c r="Y29" s="256" t="str">
        <f>+E29</f>
        <v>Tutti gli Asili Nido del Distretto prevedono una quota di compartecipazione degli utenti che varia in funzione del reddito della famiglia rilevato dall'attestazione ISEE. Sono altresì previste esenzioni per nuclei familiari in condizione di disagio economico.</v>
      </c>
    </row>
    <row r="30" spans="1:25" x14ac:dyDescent="0.25">
      <c r="E30" s="10"/>
      <c r="F30" s="10"/>
      <c r="G30" s="10"/>
      <c r="H30" s="10"/>
      <c r="I30" s="10"/>
      <c r="J30" s="10"/>
      <c r="K30" s="10"/>
      <c r="L30" s="10"/>
      <c r="M30" s="10"/>
      <c r="N30" s="10"/>
      <c r="O30" s="10"/>
    </row>
    <row r="31" spans="1:25" x14ac:dyDescent="0.25">
      <c r="E31" s="10"/>
      <c r="F31" s="10"/>
      <c r="G31" s="10"/>
      <c r="H31" s="10"/>
      <c r="I31" s="329" t="s">
        <v>264</v>
      </c>
      <c r="J31" s="330"/>
    </row>
    <row r="32" spans="1:25" x14ac:dyDescent="0.25">
      <c r="A32" t="s">
        <v>161</v>
      </c>
      <c r="B32" s="322" t="s">
        <v>262</v>
      </c>
      <c r="C32" s="323"/>
      <c r="D32" s="323"/>
      <c r="E32" s="323"/>
      <c r="F32" s="323"/>
      <c r="G32" s="323"/>
      <c r="H32" s="324"/>
      <c r="I32" s="293">
        <f>+SUM(utentiAttualiDettaglio)</f>
        <v>65</v>
      </c>
      <c r="J32" s="294"/>
    </row>
    <row r="33" spans="1:15" x14ac:dyDescent="0.25">
      <c r="E33" s="10"/>
      <c r="F33" s="10"/>
      <c r="G33" s="10"/>
      <c r="H33" s="10"/>
      <c r="I33" s="10"/>
      <c r="J33" s="10"/>
      <c r="K33" s="10"/>
      <c r="L33" s="10"/>
      <c r="M33" s="10"/>
      <c r="N33" s="10"/>
      <c r="O33" s="10"/>
    </row>
    <row r="34" spans="1:15" x14ac:dyDescent="0.25">
      <c r="A34" t="s">
        <v>162</v>
      </c>
      <c r="B34" s="322" t="s">
        <v>263</v>
      </c>
      <c r="C34" s="323"/>
      <c r="D34" s="323"/>
      <c r="E34" s="323"/>
      <c r="F34" s="323"/>
      <c r="G34" s="323"/>
      <c r="H34" s="324"/>
      <c r="I34" s="329" t="s">
        <v>264</v>
      </c>
      <c r="J34" s="330"/>
      <c r="K34" s="329" t="s">
        <v>265</v>
      </c>
      <c r="L34" s="330"/>
      <c r="M34" s="329" t="s">
        <v>266</v>
      </c>
      <c r="N34" s="330"/>
      <c r="O34" s="10"/>
    </row>
    <row r="35" spans="1:15" x14ac:dyDescent="0.25">
      <c r="B35" s="311" t="str">
        <f>+B14</f>
        <v>Servizio di nuova istituzione/utenti aggiuntivi</v>
      </c>
      <c r="C35" s="312"/>
      <c r="D35" s="312"/>
      <c r="E35" s="312"/>
      <c r="F35" s="312"/>
      <c r="G35" s="312"/>
      <c r="H35" s="313"/>
      <c r="I35" s="303">
        <f>+SUMPRODUCT((tipologiaInterventoPacDettaglio=B35)*utentiPacDettaglio)</f>
        <v>56</v>
      </c>
      <c r="J35" s="304"/>
      <c r="K35" s="303">
        <f>+SUMPRODUCT((tipologiaInterventoPacDettaglio=B35)*mensilitàPacDettaglio)</f>
        <v>17.700000000000003</v>
      </c>
      <c r="L35" s="304"/>
      <c r="M35" s="303">
        <f>+SUMPRODUCT((tipologiaInterventoPacDettaglio=B35)*oreServizioPacDettaglio)</f>
        <v>2300.8230000000003</v>
      </c>
      <c r="N35" s="304"/>
      <c r="O35" s="10"/>
    </row>
    <row r="36" spans="1:15" x14ac:dyDescent="0.25">
      <c r="B36" s="311" t="str">
        <f>+B15</f>
        <v>Estensione del periodo di apertura (mensilità aggiuntive)</v>
      </c>
      <c r="C36" s="312"/>
      <c r="D36" s="312"/>
      <c r="E36" s="312"/>
      <c r="F36" s="312"/>
      <c r="G36" s="312"/>
      <c r="H36" s="313"/>
      <c r="I36" s="303">
        <f>+SUMPRODUCT((tipologiaInterventoPacDettaglio=B36)*utentiPacDettaglio)</f>
        <v>0</v>
      </c>
      <c r="J36" s="304"/>
      <c r="K36" s="303">
        <f>+SUMPRODUCT((tipologiaInterventoPacDettaglio=B36)*mensilitàPacDettaglio)</f>
        <v>0</v>
      </c>
      <c r="L36" s="304"/>
      <c r="M36" s="303">
        <f>+SUMPRODUCT((tipologiaInterventoPacDettaglio=B36)*oreServizioPacDettaglio)</f>
        <v>0</v>
      </c>
      <c r="N36" s="304"/>
      <c r="O36" s="10"/>
    </row>
    <row r="37" spans="1:15" x14ac:dyDescent="0.25">
      <c r="B37" s="311" t="str">
        <f>+B16</f>
        <v>Estensione dell'orario di servizio (maggiore orario settimanale)</v>
      </c>
      <c r="C37" s="312"/>
      <c r="D37" s="312"/>
      <c r="E37" s="312"/>
      <c r="F37" s="312"/>
      <c r="G37" s="312"/>
      <c r="H37" s="313"/>
      <c r="I37" s="303">
        <f>+SUMPRODUCT((tipologiaInterventoPacDettaglio=B37)*utentiPacDettaglio)</f>
        <v>0</v>
      </c>
      <c r="J37" s="304"/>
      <c r="K37" s="303">
        <f>+SUMPRODUCT((tipologiaInterventoPacDettaglio=B37)*mensilitàPacDettaglio)</f>
        <v>0</v>
      </c>
      <c r="L37" s="304"/>
      <c r="M37" s="303">
        <f>+SUMPRODUCT((tipologiaInterventoPacDettaglio=B37)*oreServizioPacDettaglio)</f>
        <v>0</v>
      </c>
      <c r="N37" s="304"/>
      <c r="O37" s="10"/>
    </row>
    <row r="38" spans="1:15" x14ac:dyDescent="0.25">
      <c r="B38" s="311" t="str">
        <f>+B17</f>
        <v>Sostegno alla gestione di servizi ed utenti già attivati</v>
      </c>
      <c r="C38" s="312"/>
      <c r="D38" s="312"/>
      <c r="E38" s="312"/>
      <c r="F38" s="312"/>
      <c r="G38" s="312"/>
      <c r="H38" s="313"/>
      <c r="I38" s="303">
        <f>+SUMPRODUCT((tipologiaInterventoPacDettaglio=B38)*utentiPacDettaglio)</f>
        <v>63</v>
      </c>
      <c r="J38" s="304"/>
      <c r="K38" s="303">
        <f>+SUMPRODUCT((tipologiaInterventoPacDettaglio=B38)*mensilitàPacDettaglio)</f>
        <v>23.6</v>
      </c>
      <c r="L38" s="304"/>
      <c r="M38" s="303">
        <f>+SUMPRODUCT((tipologiaInterventoPacDettaglio=B38)*oreServizioPacDettaglio)</f>
        <v>3067.7640000000001</v>
      </c>
      <c r="N38" s="304"/>
      <c r="O38" s="120"/>
    </row>
    <row r="39" spans="1:15" x14ac:dyDescent="0.25">
      <c r="B39" s="167"/>
      <c r="C39" s="125"/>
      <c r="D39" s="125"/>
      <c r="E39" s="125"/>
      <c r="F39" s="125"/>
      <c r="G39" s="125"/>
      <c r="H39" s="125"/>
      <c r="I39" s="125"/>
      <c r="J39" s="125"/>
      <c r="K39" s="120"/>
      <c r="L39" s="120"/>
      <c r="M39" s="120"/>
      <c r="N39" s="120"/>
      <c r="O39" s="120"/>
    </row>
    <row r="40" spans="1:15" x14ac:dyDescent="0.25">
      <c r="B40" s="167"/>
      <c r="C40" s="125"/>
      <c r="D40" s="125"/>
      <c r="E40" s="125"/>
      <c r="F40" s="125"/>
      <c r="G40" s="125"/>
      <c r="H40" s="125"/>
      <c r="I40" s="125"/>
      <c r="J40" s="125"/>
      <c r="K40" s="120"/>
      <c r="L40" s="120"/>
      <c r="M40" s="120"/>
      <c r="N40" s="120"/>
      <c r="O40" s="120"/>
    </row>
    <row r="41" spans="1:15" ht="47.25" customHeight="1" x14ac:dyDescent="0.25">
      <c r="A41" t="s">
        <v>163</v>
      </c>
      <c r="B41" s="332" t="s">
        <v>326</v>
      </c>
      <c r="C41" s="333"/>
      <c r="D41" s="333"/>
      <c r="E41" s="333"/>
      <c r="F41" s="333"/>
      <c r="G41" s="335" t="s">
        <v>273</v>
      </c>
      <c r="H41" s="310"/>
      <c r="I41" s="125"/>
      <c r="J41" s="125"/>
      <c r="K41" s="120"/>
      <c r="L41" s="120"/>
    </row>
    <row r="42" spans="1:15" x14ac:dyDescent="0.25">
      <c r="B42" s="302" t="str">
        <f>+INPUT!B31</f>
        <v>Comune di Gualtieri Sicaminò</v>
      </c>
      <c r="C42" s="302"/>
      <c r="D42" s="302"/>
      <c r="E42" s="302"/>
      <c r="F42" s="302"/>
      <c r="G42" s="303">
        <f t="shared" ref="G42:G48" si="1">+SUMPRODUCT(utentiAttualiDettaglio*(strutturePACdettaglio=B42))</f>
        <v>9</v>
      </c>
      <c r="H42" s="304"/>
      <c r="I42" s="125"/>
      <c r="J42" s="125"/>
      <c r="K42" s="120"/>
      <c r="L42" s="120"/>
    </row>
    <row r="43" spans="1:15" x14ac:dyDescent="0.25">
      <c r="B43" s="302" t="str">
        <f>+INPUT!B32</f>
        <v>Comune di San Filippo del Mela</v>
      </c>
      <c r="C43" s="302"/>
      <c r="D43" s="302"/>
      <c r="E43" s="302"/>
      <c r="F43" s="302"/>
      <c r="G43" s="303">
        <f t="shared" si="1"/>
        <v>36</v>
      </c>
      <c r="H43" s="304"/>
      <c r="I43" s="125"/>
      <c r="J43" s="125"/>
      <c r="K43" s="120"/>
      <c r="L43" s="120"/>
    </row>
    <row r="44" spans="1:15" x14ac:dyDescent="0.25">
      <c r="B44" s="302" t="str">
        <f>+INPUT!B33</f>
        <v>Comune di Santa Lucia del Mela</v>
      </c>
      <c r="C44" s="302"/>
      <c r="D44" s="302"/>
      <c r="E44" s="302"/>
      <c r="F44" s="302"/>
      <c r="G44" s="303">
        <f t="shared" si="1"/>
        <v>12</v>
      </c>
      <c r="H44" s="304"/>
      <c r="I44" s="125"/>
      <c r="J44" s="125"/>
      <c r="K44" s="120"/>
      <c r="L44" s="120"/>
    </row>
    <row r="45" spans="1:15" x14ac:dyDescent="0.25">
      <c r="B45" s="302" t="str">
        <f>+INPUT!B34</f>
        <v>Comune di Venetico</v>
      </c>
      <c r="C45" s="302"/>
      <c r="D45" s="302"/>
      <c r="E45" s="302"/>
      <c r="F45" s="302"/>
      <c r="G45" s="303">
        <f t="shared" si="1"/>
        <v>8</v>
      </c>
      <c r="H45" s="304"/>
      <c r="I45" s="125"/>
      <c r="J45" s="125"/>
      <c r="K45" s="120"/>
      <c r="L45" s="120"/>
    </row>
    <row r="46" spans="1:15" x14ac:dyDescent="0.25">
      <c r="B46" s="302">
        <f>+INPUT!B35</f>
        <v>0</v>
      </c>
      <c r="C46" s="302"/>
      <c r="D46" s="302"/>
      <c r="E46" s="302"/>
      <c r="F46" s="302"/>
      <c r="G46" s="303">
        <f t="shared" si="1"/>
        <v>0</v>
      </c>
      <c r="H46" s="304"/>
      <c r="I46" s="125"/>
      <c r="J46" s="125"/>
      <c r="K46" s="120"/>
      <c r="L46" s="120"/>
    </row>
    <row r="47" spans="1:15" x14ac:dyDescent="0.25">
      <c r="B47" s="302">
        <f>+INPUT!B36</f>
        <v>0</v>
      </c>
      <c r="C47" s="302"/>
      <c r="D47" s="302"/>
      <c r="E47" s="302"/>
      <c r="F47" s="302"/>
      <c r="G47" s="303">
        <f t="shared" si="1"/>
        <v>0</v>
      </c>
      <c r="H47" s="304"/>
      <c r="I47" s="125"/>
      <c r="J47" s="125"/>
      <c r="K47" s="120"/>
      <c r="L47" s="120"/>
    </row>
    <row r="48" spans="1:15" x14ac:dyDescent="0.25">
      <c r="B48" s="302">
        <f>+INPUT!B37</f>
        <v>0</v>
      </c>
      <c r="C48" s="302"/>
      <c r="D48" s="302"/>
      <c r="E48" s="302"/>
      <c r="F48" s="302"/>
      <c r="G48" s="303">
        <f t="shared" si="1"/>
        <v>0</v>
      </c>
      <c r="H48" s="304"/>
      <c r="I48" s="125"/>
      <c r="J48" s="125"/>
      <c r="K48" s="120"/>
      <c r="L48" s="120"/>
    </row>
    <row r="49" spans="2:23" x14ac:dyDescent="0.25">
      <c r="B49" s="167"/>
      <c r="C49" s="125"/>
      <c r="D49" s="125"/>
      <c r="E49" s="125"/>
      <c r="F49" s="125"/>
      <c r="G49" s="125"/>
      <c r="H49" s="125"/>
      <c r="I49" s="125"/>
      <c r="J49" s="125"/>
      <c r="K49" s="120"/>
      <c r="L49" s="120"/>
      <c r="M49" s="120"/>
      <c r="N49" s="120"/>
      <c r="O49" s="120"/>
    </row>
    <row r="50" spans="2:23" x14ac:dyDescent="0.25">
      <c r="B50" s="167"/>
      <c r="C50" s="125"/>
      <c r="D50" s="125"/>
      <c r="E50" s="125"/>
      <c r="F50" s="125"/>
      <c r="G50" s="308" t="s">
        <v>268</v>
      </c>
      <c r="H50" s="308"/>
      <c r="I50" s="308"/>
      <c r="J50" s="308"/>
      <c r="K50" s="308"/>
      <c r="L50" s="308"/>
      <c r="M50" s="120"/>
      <c r="N50" s="297" t="s">
        <v>282</v>
      </c>
      <c r="O50" s="307"/>
      <c r="P50" s="307"/>
      <c r="Q50" s="298"/>
      <c r="S50" s="297" t="s">
        <v>291</v>
      </c>
      <c r="T50" s="307"/>
      <c r="U50" s="307"/>
      <c r="V50" s="298"/>
      <c r="W50" s="124"/>
    </row>
    <row r="51" spans="2:23" x14ac:dyDescent="0.25">
      <c r="B51" s="332" t="s">
        <v>326</v>
      </c>
      <c r="C51" s="333"/>
      <c r="D51" s="333"/>
      <c r="E51" s="333"/>
      <c r="F51" s="333"/>
      <c r="G51" s="309" t="s">
        <v>269</v>
      </c>
      <c r="H51" s="310"/>
      <c r="I51" s="309" t="s">
        <v>139</v>
      </c>
      <c r="J51" s="310"/>
      <c r="K51" s="309" t="s">
        <v>265</v>
      </c>
      <c r="L51" s="310"/>
      <c r="M51" s="166" t="s">
        <v>20</v>
      </c>
      <c r="N51" s="305" t="s">
        <v>280</v>
      </c>
      <c r="O51" s="306"/>
      <c r="P51" s="305" t="s">
        <v>281</v>
      </c>
      <c r="Q51" s="306"/>
      <c r="S51" s="305" t="s">
        <v>280</v>
      </c>
      <c r="T51" s="306"/>
      <c r="U51" s="305" t="s">
        <v>281</v>
      </c>
      <c r="V51" s="306"/>
      <c r="W51" s="169"/>
    </row>
    <row r="52" spans="2:23" x14ac:dyDescent="0.25">
      <c r="B52" s="302" t="str">
        <f>+B42</f>
        <v>Comune di Gualtieri Sicaminò</v>
      </c>
      <c r="C52" s="302"/>
      <c r="D52" s="302"/>
      <c r="E52" s="302"/>
      <c r="F52" s="302"/>
      <c r="G52" s="303">
        <f t="shared" ref="G52:G58" si="2">+SUMPRODUCT(utentiPacDettaglio*(struttureInterventiPacDettaglio=$B42)*(tipologiaInterventoPacDettaglio=B$38))</f>
        <v>0</v>
      </c>
      <c r="H52" s="304"/>
      <c r="I52" s="303">
        <f t="shared" ref="I52:I58" si="3">+SUMPRODUCT(oreServizioPacDettaglio*(struttureInterventiPacDettaglio=$B42)*(tipologiaInterventoPacDettaglio=B$38))</f>
        <v>0</v>
      </c>
      <c r="J52" s="304"/>
      <c r="K52" s="303">
        <f>+SUMPRODUCT(mensilitàPacDettaglio*(struttureInterventiPacDettaglio=$B42)*(tipologiaInterventoPacDettaglio=B$38))</f>
        <v>0</v>
      </c>
      <c r="L52" s="304"/>
      <c r="N52" s="303">
        <f t="shared" ref="N52:N58" si="4">+SUMPRODUCT(mensilitàPacDettaglio1516*(struttureInterventiPacDettaglio=$B42)*(tipologiaInterventoPacDettaglio=B$38))</f>
        <v>0</v>
      </c>
      <c r="O52" s="304"/>
      <c r="P52" s="303">
        <f t="shared" ref="P52:P58" si="5">+SUMPRODUCT(mensilitàPacDettaglio1617*(struttureInterventiPacDettaglio=$B42)*(tipologiaInterventoPacDettaglio=B$38))</f>
        <v>0</v>
      </c>
      <c r="Q52" s="304"/>
      <c r="S52" s="295">
        <f t="shared" ref="S52:S58" si="6">+SUMPRODUCT(risorseNettePacDettaglio1516*(struttureInterventiPacDettaglio=$B42)*(tipologiaInterventoPacDettaglio=B$38))</f>
        <v>0</v>
      </c>
      <c r="T52" s="296"/>
      <c r="U52" s="295">
        <f t="shared" ref="U52:U58" si="7">+SUMPRODUCT(risorseNettePacDettaglio1617*(struttureInterventiPacDettaglio=$B42)*(tipologiaInterventoPacDettaglio=B$38))</f>
        <v>0</v>
      </c>
      <c r="V52" s="296"/>
      <c r="W52" s="170"/>
    </row>
    <row r="53" spans="2:23" x14ac:dyDescent="0.25">
      <c r="B53" s="302" t="str">
        <f t="shared" ref="B53:B58" si="8">+B43</f>
        <v>Comune di San Filippo del Mela</v>
      </c>
      <c r="C53" s="302"/>
      <c r="D53" s="302"/>
      <c r="E53" s="302"/>
      <c r="F53" s="302"/>
      <c r="G53" s="303">
        <f t="shared" si="2"/>
        <v>36</v>
      </c>
      <c r="H53" s="304"/>
      <c r="I53" s="303">
        <f t="shared" si="3"/>
        <v>766.94100000000003</v>
      </c>
      <c r="J53" s="304"/>
      <c r="K53" s="303">
        <f t="shared" ref="K53:K58" si="9">+SUMPRODUCT(mensilitàPacDettaglio*(struttureInterventiPacDettaglio=$B43)*(tipologiaInterventoPacDettaglio=B$38))</f>
        <v>5.9</v>
      </c>
      <c r="L53" s="304"/>
      <c r="N53" s="303">
        <f t="shared" si="4"/>
        <v>0</v>
      </c>
      <c r="O53" s="304"/>
      <c r="P53" s="303">
        <f t="shared" si="5"/>
        <v>5.9</v>
      </c>
      <c r="Q53" s="304"/>
      <c r="S53" s="295">
        <f t="shared" si="6"/>
        <v>0</v>
      </c>
      <c r="T53" s="296"/>
      <c r="U53" s="295">
        <f t="shared" si="7"/>
        <v>0</v>
      </c>
      <c r="V53" s="296"/>
      <c r="W53" s="170"/>
    </row>
    <row r="54" spans="2:23" x14ac:dyDescent="0.25">
      <c r="B54" s="302" t="str">
        <f t="shared" si="8"/>
        <v>Comune di Santa Lucia del Mela</v>
      </c>
      <c r="C54" s="302"/>
      <c r="D54" s="302"/>
      <c r="E54" s="302"/>
      <c r="F54" s="302"/>
      <c r="G54" s="303">
        <f t="shared" si="2"/>
        <v>12</v>
      </c>
      <c r="H54" s="304"/>
      <c r="I54" s="303">
        <f t="shared" si="3"/>
        <v>766.94100000000003</v>
      </c>
      <c r="J54" s="304"/>
      <c r="K54" s="303">
        <f t="shared" si="9"/>
        <v>5.9</v>
      </c>
      <c r="L54" s="304"/>
      <c r="N54" s="303">
        <f t="shared" si="4"/>
        <v>0</v>
      </c>
      <c r="O54" s="304"/>
      <c r="P54" s="303">
        <f t="shared" si="5"/>
        <v>5.9</v>
      </c>
      <c r="Q54" s="304"/>
      <c r="S54" s="295">
        <f t="shared" si="6"/>
        <v>0</v>
      </c>
      <c r="T54" s="296"/>
      <c r="U54" s="295">
        <f t="shared" si="7"/>
        <v>0</v>
      </c>
      <c r="V54" s="296"/>
      <c r="W54" s="170"/>
    </row>
    <row r="55" spans="2:23" x14ac:dyDescent="0.25">
      <c r="B55" s="302" t="str">
        <f t="shared" si="8"/>
        <v>Comune di Venetico</v>
      </c>
      <c r="C55" s="302"/>
      <c r="D55" s="302"/>
      <c r="E55" s="302"/>
      <c r="F55" s="302"/>
      <c r="G55" s="303">
        <f t="shared" si="2"/>
        <v>15</v>
      </c>
      <c r="H55" s="304"/>
      <c r="I55" s="303">
        <f t="shared" si="3"/>
        <v>1533.8820000000001</v>
      </c>
      <c r="J55" s="304"/>
      <c r="K55" s="303">
        <f t="shared" si="9"/>
        <v>11.8</v>
      </c>
      <c r="L55" s="304"/>
      <c r="N55" s="303">
        <f t="shared" si="4"/>
        <v>0</v>
      </c>
      <c r="O55" s="304"/>
      <c r="P55" s="303">
        <f t="shared" si="5"/>
        <v>11.8</v>
      </c>
      <c r="Q55" s="304"/>
      <c r="S55" s="295">
        <f t="shared" si="6"/>
        <v>0</v>
      </c>
      <c r="T55" s="296"/>
      <c r="U55" s="295">
        <f t="shared" si="7"/>
        <v>26331.3413272</v>
      </c>
      <c r="V55" s="296"/>
      <c r="W55" s="170"/>
    </row>
    <row r="56" spans="2:23" x14ac:dyDescent="0.25">
      <c r="B56" s="302">
        <f t="shared" si="8"/>
        <v>0</v>
      </c>
      <c r="C56" s="302"/>
      <c r="D56" s="302"/>
      <c r="E56" s="302"/>
      <c r="F56" s="302"/>
      <c r="G56" s="303">
        <f t="shared" si="2"/>
        <v>0</v>
      </c>
      <c r="H56" s="304"/>
      <c r="I56" s="303">
        <f t="shared" si="3"/>
        <v>0</v>
      </c>
      <c r="J56" s="304"/>
      <c r="K56" s="303">
        <f t="shared" si="9"/>
        <v>0</v>
      </c>
      <c r="L56" s="304"/>
      <c r="N56" s="303">
        <f t="shared" si="4"/>
        <v>0</v>
      </c>
      <c r="O56" s="304"/>
      <c r="P56" s="303">
        <f t="shared" si="5"/>
        <v>0</v>
      </c>
      <c r="Q56" s="304"/>
      <c r="S56" s="295">
        <f t="shared" si="6"/>
        <v>0</v>
      </c>
      <c r="T56" s="296"/>
      <c r="U56" s="295">
        <f t="shared" si="7"/>
        <v>0</v>
      </c>
      <c r="V56" s="296"/>
      <c r="W56" s="170"/>
    </row>
    <row r="57" spans="2:23" x14ac:dyDescent="0.25">
      <c r="B57" s="302">
        <f t="shared" si="8"/>
        <v>0</v>
      </c>
      <c r="C57" s="302"/>
      <c r="D57" s="302"/>
      <c r="E57" s="302"/>
      <c r="F57" s="302"/>
      <c r="G57" s="303">
        <f t="shared" si="2"/>
        <v>0</v>
      </c>
      <c r="H57" s="304"/>
      <c r="I57" s="303">
        <f t="shared" si="3"/>
        <v>0</v>
      </c>
      <c r="J57" s="304"/>
      <c r="K57" s="303">
        <f t="shared" si="9"/>
        <v>0</v>
      </c>
      <c r="L57" s="304"/>
      <c r="N57" s="303">
        <f t="shared" si="4"/>
        <v>0</v>
      </c>
      <c r="O57" s="304"/>
      <c r="P57" s="303">
        <f t="shared" si="5"/>
        <v>0</v>
      </c>
      <c r="Q57" s="304"/>
      <c r="S57" s="295">
        <f t="shared" si="6"/>
        <v>0</v>
      </c>
      <c r="T57" s="296"/>
      <c r="U57" s="295">
        <f t="shared" si="7"/>
        <v>0</v>
      </c>
      <c r="V57" s="296"/>
      <c r="W57" s="170"/>
    </row>
    <row r="58" spans="2:23" x14ac:dyDescent="0.25">
      <c r="B58" s="302">
        <f t="shared" si="8"/>
        <v>0</v>
      </c>
      <c r="C58" s="302"/>
      <c r="D58" s="302"/>
      <c r="E58" s="302"/>
      <c r="F58" s="302"/>
      <c r="G58" s="303">
        <f t="shared" si="2"/>
        <v>0</v>
      </c>
      <c r="H58" s="304"/>
      <c r="I58" s="303">
        <f t="shared" si="3"/>
        <v>0</v>
      </c>
      <c r="J58" s="304"/>
      <c r="K58" s="303">
        <f t="shared" si="9"/>
        <v>0</v>
      </c>
      <c r="L58" s="304"/>
      <c r="N58" s="303">
        <f t="shared" si="4"/>
        <v>0</v>
      </c>
      <c r="O58" s="304"/>
      <c r="P58" s="303">
        <f t="shared" si="5"/>
        <v>0</v>
      </c>
      <c r="Q58" s="304"/>
      <c r="S58" s="295">
        <f t="shared" si="6"/>
        <v>0</v>
      </c>
      <c r="T58" s="296"/>
      <c r="U58" s="295">
        <f t="shared" si="7"/>
        <v>0</v>
      </c>
      <c r="V58" s="296"/>
      <c r="W58" s="170"/>
    </row>
    <row r="59" spans="2:23" x14ac:dyDescent="0.25">
      <c r="B59" s="299" t="s">
        <v>19</v>
      </c>
      <c r="C59" s="299"/>
      <c r="D59" s="299"/>
      <c r="E59" s="299"/>
      <c r="F59" s="299"/>
      <c r="G59" s="297">
        <f>+SUM(G52:H58)</f>
        <v>63</v>
      </c>
      <c r="H59" s="298"/>
      <c r="I59" s="297">
        <f>+SUM(I52:J58)</f>
        <v>3067.7640000000001</v>
      </c>
      <c r="J59" s="298"/>
      <c r="K59" s="297">
        <f>+SUM(K52:L58)</f>
        <v>23.6</v>
      </c>
      <c r="L59" s="298"/>
      <c r="M59" s="184"/>
      <c r="N59" s="297">
        <f>+SUM(N52:O58)</f>
        <v>0</v>
      </c>
      <c r="O59" s="298"/>
      <c r="P59" s="297">
        <f>+SUM(P52:Q58)</f>
        <v>23.6</v>
      </c>
      <c r="Q59" s="298"/>
      <c r="R59" s="35"/>
      <c r="S59" s="300">
        <f>+SUM(S52:T58)</f>
        <v>0</v>
      </c>
      <c r="T59" s="301"/>
      <c r="U59" s="300">
        <f>+SUM(U52:V58)</f>
        <v>26331.3413272</v>
      </c>
      <c r="V59" s="301"/>
      <c r="W59" s="124"/>
    </row>
    <row r="60" spans="2:23" x14ac:dyDescent="0.25">
      <c r="B60" s="167"/>
      <c r="C60" s="125"/>
      <c r="D60" s="125"/>
      <c r="E60" s="125"/>
      <c r="F60" s="125"/>
      <c r="G60" s="125"/>
      <c r="H60" s="125"/>
      <c r="I60" s="125"/>
      <c r="J60" s="125"/>
      <c r="K60" s="120"/>
      <c r="L60" s="120"/>
      <c r="M60" s="120"/>
      <c r="N60" s="120"/>
      <c r="O60" s="120"/>
      <c r="P60" s="120"/>
      <c r="Q60" s="120"/>
      <c r="S60" s="124"/>
      <c r="T60" s="124"/>
      <c r="U60" s="124"/>
      <c r="V60" s="124"/>
      <c r="W60" s="124"/>
    </row>
    <row r="61" spans="2:23" x14ac:dyDescent="0.25">
      <c r="B61" s="167"/>
      <c r="C61" s="125"/>
      <c r="D61" s="125"/>
      <c r="E61" s="125"/>
      <c r="F61" s="125"/>
      <c r="G61" s="308" t="s">
        <v>270</v>
      </c>
      <c r="H61" s="308"/>
      <c r="I61" s="308"/>
      <c r="J61" s="308"/>
      <c r="K61" s="308"/>
      <c r="L61" s="308"/>
      <c r="M61" s="120"/>
      <c r="N61" s="297" t="s">
        <v>282</v>
      </c>
      <c r="O61" s="307"/>
      <c r="P61" s="307"/>
      <c r="Q61" s="298"/>
      <c r="S61" s="297" t="s">
        <v>291</v>
      </c>
      <c r="T61" s="307"/>
      <c r="U61" s="307"/>
      <c r="V61" s="298"/>
      <c r="W61" s="124"/>
    </row>
    <row r="62" spans="2:23" x14ac:dyDescent="0.25">
      <c r="B62" s="332" t="s">
        <v>326</v>
      </c>
      <c r="C62" s="333"/>
      <c r="D62" s="333"/>
      <c r="E62" s="333"/>
      <c r="F62" s="333"/>
      <c r="G62" s="309" t="s">
        <v>269</v>
      </c>
      <c r="H62" s="310"/>
      <c r="I62" s="309" t="s">
        <v>139</v>
      </c>
      <c r="J62" s="310"/>
      <c r="K62" s="309" t="s">
        <v>265</v>
      </c>
      <c r="L62" s="310"/>
      <c r="M62" s="166" t="s">
        <v>20</v>
      </c>
      <c r="N62" s="305" t="s">
        <v>280</v>
      </c>
      <c r="O62" s="306"/>
      <c r="P62" s="305" t="s">
        <v>281</v>
      </c>
      <c r="Q62" s="306"/>
      <c r="S62" s="305" t="s">
        <v>280</v>
      </c>
      <c r="T62" s="306"/>
      <c r="U62" s="305" t="s">
        <v>281</v>
      </c>
      <c r="V62" s="306"/>
      <c r="W62" s="124"/>
    </row>
    <row r="63" spans="2:23" x14ac:dyDescent="0.25">
      <c r="B63" s="302" t="str">
        <f>+B52</f>
        <v>Comune di Gualtieri Sicaminò</v>
      </c>
      <c r="C63" s="302"/>
      <c r="D63" s="302"/>
      <c r="E63" s="302"/>
      <c r="F63" s="302"/>
      <c r="G63" s="303">
        <f t="shared" ref="G63:G69" si="10">+SUMPRODUCT(utentiPacDettaglio*(struttureInterventiPacDettaglio=$B42)*(tipologiaInterventoPacDettaglio=B$35))</f>
        <v>24</v>
      </c>
      <c r="H63" s="304"/>
      <c r="I63" s="303">
        <f t="shared" ref="I63:I69" si="11">+SUMPRODUCT(oreServizioPacDettaglio*(struttureInterventiPacDettaglio=$B42)*(tipologiaInterventoPacDettaglio=B$35))</f>
        <v>766.94100000000003</v>
      </c>
      <c r="J63" s="304"/>
      <c r="K63" s="303">
        <f>+SUMPRODUCT(mensilitàPacDettaglio*(struttureInterventiPacDettaglio=$B42)*(tipologiaInterventoPacDettaglio=B$35))</f>
        <v>5.9</v>
      </c>
      <c r="L63" s="304"/>
      <c r="M63" s="120"/>
      <c r="N63" s="303">
        <f>+SUMPRODUCT(mensilitàPacDettaglio1516*(struttureInterventiPacDettaglio=$B42)*(tipologiaInterventoPacDettaglio=B$35))</f>
        <v>0</v>
      </c>
      <c r="O63" s="304"/>
      <c r="P63" s="303">
        <f>+SUMPRODUCT(mensilitàPacDettaglio1617*(struttureInterventiPacDettaglio=$B42)*(tipologiaInterventoPacDettaglio=B$35))</f>
        <v>5.9</v>
      </c>
      <c r="Q63" s="304"/>
      <c r="S63" s="295">
        <f t="shared" ref="S63:S69" si="12">+SUMPRODUCT(risorseNettePacDettaglio1516*(struttureInterventiPacDettaglio=$B42)*(tipologiaInterventoPacDettaglio=B$35))</f>
        <v>0</v>
      </c>
      <c r="T63" s="296"/>
      <c r="U63" s="295">
        <f t="shared" ref="U63:U69" si="13">+SUMPRODUCT(risorseNettePacDettaglio1617*(struttureInterventiPacDettaglio=$B42)*(tipologiaInterventoPacDettaglio=B$35))</f>
        <v>32718.669656999999</v>
      </c>
      <c r="V63" s="296"/>
      <c r="W63" s="124"/>
    </row>
    <row r="64" spans="2:23" x14ac:dyDescent="0.25">
      <c r="B64" s="302" t="str">
        <f t="shared" ref="B64:B69" si="14">+B53</f>
        <v>Comune di San Filippo del Mela</v>
      </c>
      <c r="C64" s="302"/>
      <c r="D64" s="302"/>
      <c r="E64" s="302"/>
      <c r="F64" s="302"/>
      <c r="G64" s="303">
        <f t="shared" si="10"/>
        <v>24</v>
      </c>
      <c r="H64" s="304"/>
      <c r="I64" s="303">
        <f t="shared" si="11"/>
        <v>766.94100000000003</v>
      </c>
      <c r="J64" s="304"/>
      <c r="K64" s="303">
        <f t="shared" ref="K64:K69" si="15">+SUMPRODUCT(mensilitàPacDettaglio*(struttureInterventiPacDettaglio=$B43)*(tipologiaInterventoPacDettaglio=B$35))</f>
        <v>5.9</v>
      </c>
      <c r="L64" s="304"/>
      <c r="M64" s="120"/>
      <c r="N64" s="303">
        <f t="shared" ref="N64:N69" si="16">+SUMPRODUCT(mensilitàPacDettaglio1516*(struttureInterventiPacDettaglio=$B43)*(tipologiaInterventoPacDettaglio=B$35))</f>
        <v>0</v>
      </c>
      <c r="O64" s="304"/>
      <c r="P64" s="303">
        <f t="shared" ref="P64:P69" si="17">+SUMPRODUCT(mensilitàPacDettaglio1617*(struttureInterventiPacDettaglio=$B43)*(tipologiaInterventoPacDettaglio=B$35))</f>
        <v>5.9</v>
      </c>
      <c r="Q64" s="304"/>
      <c r="S64" s="295">
        <f t="shared" si="12"/>
        <v>0</v>
      </c>
      <c r="T64" s="296"/>
      <c r="U64" s="295">
        <f t="shared" si="13"/>
        <v>53794.515113400012</v>
      </c>
      <c r="V64" s="296"/>
      <c r="W64" s="124"/>
    </row>
    <row r="65" spans="2:23" x14ac:dyDescent="0.25">
      <c r="B65" s="302" t="str">
        <f t="shared" si="14"/>
        <v>Comune di Santa Lucia del Mela</v>
      </c>
      <c r="C65" s="302"/>
      <c r="D65" s="302"/>
      <c r="E65" s="302"/>
      <c r="F65" s="302"/>
      <c r="G65" s="303">
        <f t="shared" si="10"/>
        <v>8</v>
      </c>
      <c r="H65" s="304"/>
      <c r="I65" s="303">
        <f t="shared" si="11"/>
        <v>766.94100000000003</v>
      </c>
      <c r="J65" s="304"/>
      <c r="K65" s="303">
        <f t="shared" si="15"/>
        <v>5.9</v>
      </c>
      <c r="L65" s="304"/>
      <c r="M65" s="120"/>
      <c r="N65" s="303">
        <f t="shared" si="16"/>
        <v>0</v>
      </c>
      <c r="O65" s="304"/>
      <c r="P65" s="303">
        <f t="shared" si="17"/>
        <v>5.9</v>
      </c>
      <c r="Q65" s="304"/>
      <c r="S65" s="295">
        <f t="shared" si="12"/>
        <v>0</v>
      </c>
      <c r="T65" s="296"/>
      <c r="U65" s="295">
        <f t="shared" si="13"/>
        <v>26183.8413272</v>
      </c>
      <c r="V65" s="296"/>
      <c r="W65" s="124"/>
    </row>
    <row r="66" spans="2:23" x14ac:dyDescent="0.25">
      <c r="B66" s="302" t="str">
        <f t="shared" si="14"/>
        <v>Comune di Venetico</v>
      </c>
      <c r="C66" s="302"/>
      <c r="D66" s="302"/>
      <c r="E66" s="302"/>
      <c r="F66" s="302"/>
      <c r="G66" s="303">
        <f t="shared" si="10"/>
        <v>0</v>
      </c>
      <c r="H66" s="304"/>
      <c r="I66" s="303">
        <f t="shared" si="11"/>
        <v>0</v>
      </c>
      <c r="J66" s="304"/>
      <c r="K66" s="303">
        <f t="shared" si="15"/>
        <v>0</v>
      </c>
      <c r="L66" s="304"/>
      <c r="M66" s="120"/>
      <c r="N66" s="303">
        <f t="shared" si="16"/>
        <v>0</v>
      </c>
      <c r="O66" s="304"/>
      <c r="P66" s="303">
        <f t="shared" si="17"/>
        <v>0</v>
      </c>
      <c r="Q66" s="304"/>
      <c r="S66" s="295">
        <f t="shared" si="12"/>
        <v>0</v>
      </c>
      <c r="T66" s="296"/>
      <c r="U66" s="295">
        <f t="shared" si="13"/>
        <v>0</v>
      </c>
      <c r="V66" s="296"/>
      <c r="W66" s="124"/>
    </row>
    <row r="67" spans="2:23" x14ac:dyDescent="0.25">
      <c r="B67" s="302">
        <f t="shared" si="14"/>
        <v>0</v>
      </c>
      <c r="C67" s="302"/>
      <c r="D67" s="302"/>
      <c r="E67" s="302"/>
      <c r="F67" s="302"/>
      <c r="G67" s="303">
        <f t="shared" si="10"/>
        <v>0</v>
      </c>
      <c r="H67" s="304"/>
      <c r="I67" s="303">
        <f t="shared" si="11"/>
        <v>0</v>
      </c>
      <c r="J67" s="304"/>
      <c r="K67" s="303">
        <f t="shared" si="15"/>
        <v>0</v>
      </c>
      <c r="L67" s="304"/>
      <c r="M67" s="120"/>
      <c r="N67" s="303">
        <f t="shared" si="16"/>
        <v>0</v>
      </c>
      <c r="O67" s="304"/>
      <c r="P67" s="303">
        <f t="shared" si="17"/>
        <v>0</v>
      </c>
      <c r="Q67" s="304"/>
      <c r="S67" s="295">
        <f t="shared" si="12"/>
        <v>0</v>
      </c>
      <c r="T67" s="296"/>
      <c r="U67" s="295">
        <f t="shared" si="13"/>
        <v>0</v>
      </c>
      <c r="V67" s="296"/>
      <c r="W67" s="124"/>
    </row>
    <row r="68" spans="2:23" x14ac:dyDescent="0.25">
      <c r="B68" s="302">
        <f t="shared" si="14"/>
        <v>0</v>
      </c>
      <c r="C68" s="302"/>
      <c r="D68" s="302"/>
      <c r="E68" s="302"/>
      <c r="F68" s="302"/>
      <c r="G68" s="303">
        <f t="shared" si="10"/>
        <v>0</v>
      </c>
      <c r="H68" s="304"/>
      <c r="I68" s="303">
        <f t="shared" si="11"/>
        <v>0</v>
      </c>
      <c r="J68" s="304"/>
      <c r="K68" s="303">
        <f t="shared" si="15"/>
        <v>0</v>
      </c>
      <c r="L68" s="304"/>
      <c r="M68" s="120"/>
      <c r="N68" s="303">
        <f t="shared" si="16"/>
        <v>0</v>
      </c>
      <c r="O68" s="304"/>
      <c r="P68" s="303">
        <f t="shared" si="17"/>
        <v>0</v>
      </c>
      <c r="Q68" s="304"/>
      <c r="S68" s="295">
        <f t="shared" si="12"/>
        <v>0</v>
      </c>
      <c r="T68" s="296"/>
      <c r="U68" s="295">
        <f t="shared" si="13"/>
        <v>0</v>
      </c>
      <c r="V68" s="296"/>
      <c r="W68" s="124"/>
    </row>
    <row r="69" spans="2:23" x14ac:dyDescent="0.25">
      <c r="B69" s="302">
        <f t="shared" si="14"/>
        <v>0</v>
      </c>
      <c r="C69" s="302"/>
      <c r="D69" s="302"/>
      <c r="E69" s="302"/>
      <c r="F69" s="302"/>
      <c r="G69" s="303">
        <f t="shared" si="10"/>
        <v>0</v>
      </c>
      <c r="H69" s="304"/>
      <c r="I69" s="303">
        <f t="shared" si="11"/>
        <v>0</v>
      </c>
      <c r="J69" s="304"/>
      <c r="K69" s="303">
        <f t="shared" si="15"/>
        <v>0</v>
      </c>
      <c r="L69" s="304"/>
      <c r="M69" s="120"/>
      <c r="N69" s="303">
        <f t="shared" si="16"/>
        <v>0</v>
      </c>
      <c r="O69" s="304"/>
      <c r="P69" s="303">
        <f t="shared" si="17"/>
        <v>0</v>
      </c>
      <c r="Q69" s="304"/>
      <c r="S69" s="295">
        <f t="shared" si="12"/>
        <v>0</v>
      </c>
      <c r="T69" s="296"/>
      <c r="U69" s="295">
        <f t="shared" si="13"/>
        <v>0</v>
      </c>
      <c r="V69" s="296"/>
      <c r="W69" s="124"/>
    </row>
    <row r="70" spans="2:23" x14ac:dyDescent="0.25">
      <c r="B70" s="299" t="s">
        <v>19</v>
      </c>
      <c r="C70" s="299"/>
      <c r="D70" s="299"/>
      <c r="E70" s="299"/>
      <c r="F70" s="299"/>
      <c r="G70" s="297">
        <f>+SUM(G63:H69)</f>
        <v>56</v>
      </c>
      <c r="H70" s="298"/>
      <c r="I70" s="297">
        <f>+SUM(I63:J69)</f>
        <v>2300.8230000000003</v>
      </c>
      <c r="J70" s="298"/>
      <c r="K70" s="297">
        <f>+SUM(K63:L69)</f>
        <v>17.700000000000003</v>
      </c>
      <c r="L70" s="298"/>
      <c r="M70" s="184"/>
      <c r="N70" s="297">
        <f>+SUM(N63:O69)</f>
        <v>0</v>
      </c>
      <c r="O70" s="298"/>
      <c r="P70" s="297">
        <f>+SUM(P63:Q69)</f>
        <v>17.700000000000003</v>
      </c>
      <c r="Q70" s="298"/>
      <c r="R70" s="35"/>
      <c r="S70" s="300">
        <f>+SUM(S63:T69)</f>
        <v>0</v>
      </c>
      <c r="T70" s="301"/>
      <c r="U70" s="300">
        <f>+SUM(U63:V69)</f>
        <v>112697.02609760001</v>
      </c>
      <c r="V70" s="301"/>
      <c r="W70" s="124"/>
    </row>
    <row r="71" spans="2:23" x14ac:dyDescent="0.25">
      <c r="B71" s="167"/>
      <c r="C71" s="125"/>
      <c r="D71" s="125"/>
      <c r="E71" s="125"/>
      <c r="F71" s="125"/>
      <c r="G71" s="125"/>
      <c r="H71" s="125"/>
      <c r="I71" s="125"/>
      <c r="J71" s="125"/>
      <c r="K71" s="120"/>
      <c r="L71" s="120"/>
      <c r="M71" s="120"/>
      <c r="N71" s="120"/>
      <c r="O71" s="120"/>
      <c r="P71" s="120"/>
      <c r="Q71" s="120"/>
      <c r="S71" s="124"/>
      <c r="T71" s="124"/>
      <c r="U71" s="124"/>
      <c r="V71" s="124"/>
      <c r="W71" s="124"/>
    </row>
    <row r="72" spans="2:23" x14ac:dyDescent="0.25">
      <c r="B72" s="167"/>
      <c r="C72" s="125"/>
      <c r="D72" s="125"/>
      <c r="E72" s="125"/>
      <c r="F72" s="125"/>
      <c r="G72" s="308" t="s">
        <v>271</v>
      </c>
      <c r="H72" s="308"/>
      <c r="I72" s="308"/>
      <c r="J72" s="308"/>
      <c r="K72" s="308"/>
      <c r="L72" s="308"/>
      <c r="M72" s="120"/>
      <c r="N72" s="297" t="s">
        <v>282</v>
      </c>
      <c r="O72" s="307"/>
      <c r="P72" s="307"/>
      <c r="Q72" s="298"/>
      <c r="S72" s="297" t="s">
        <v>291</v>
      </c>
      <c r="T72" s="307"/>
      <c r="U72" s="307"/>
      <c r="V72" s="298"/>
      <c r="W72" s="124"/>
    </row>
    <row r="73" spans="2:23" x14ac:dyDescent="0.25">
      <c r="B73" s="332" t="s">
        <v>326</v>
      </c>
      <c r="C73" s="333"/>
      <c r="D73" s="333"/>
      <c r="E73" s="333"/>
      <c r="F73" s="333"/>
      <c r="G73" s="309" t="s">
        <v>269</v>
      </c>
      <c r="H73" s="310"/>
      <c r="I73" s="309" t="s">
        <v>139</v>
      </c>
      <c r="J73" s="310"/>
      <c r="K73" s="309" t="s">
        <v>265</v>
      </c>
      <c r="L73" s="310"/>
      <c r="M73" s="166" t="s">
        <v>20</v>
      </c>
      <c r="N73" s="305" t="s">
        <v>280</v>
      </c>
      <c r="O73" s="306"/>
      <c r="P73" s="305" t="s">
        <v>281</v>
      </c>
      <c r="Q73" s="306"/>
      <c r="S73" s="305" t="s">
        <v>280</v>
      </c>
      <c r="T73" s="306"/>
      <c r="U73" s="305" t="s">
        <v>281</v>
      </c>
      <c r="V73" s="306"/>
      <c r="W73" s="124"/>
    </row>
    <row r="74" spans="2:23" x14ac:dyDescent="0.25">
      <c r="B74" s="302" t="str">
        <f>+B63</f>
        <v>Comune di Gualtieri Sicaminò</v>
      </c>
      <c r="C74" s="302"/>
      <c r="D74" s="302"/>
      <c r="E74" s="302"/>
      <c r="F74" s="302"/>
      <c r="G74" s="303">
        <f t="shared" ref="G74:G80" si="18">+SUMPRODUCT(utentiPacDettaglio*(struttureInterventiPacDettaglio=$B42)*(tipologiaInterventoPacDettaglio=B$36))</f>
        <v>0</v>
      </c>
      <c r="H74" s="304"/>
      <c r="I74" s="303">
        <f t="shared" ref="I74:I80" si="19">+SUMPRODUCT(oreServizioPacDettaglio*(struttureInterventiPacDettaglio=$B42)*(tipologiaInterventoPacDettaglio=B$36))</f>
        <v>0</v>
      </c>
      <c r="J74" s="304"/>
      <c r="K74" s="303">
        <f t="shared" ref="K74:K80" si="20">+SUMPRODUCT(mensilitàPacDettaglio*(struttureInterventiPacDettaglio=$B42)*(tipologiaInterventoPacDettaglio=B$36))</f>
        <v>0</v>
      </c>
      <c r="L74" s="304"/>
      <c r="M74" s="120"/>
      <c r="N74" s="303">
        <f>+SUMPRODUCT(mensilitàPacDettaglio1516*(struttureInterventiPacDettaglio=$B42)*(tipologiaInterventoPacDettaglio=B$36))</f>
        <v>0</v>
      </c>
      <c r="O74" s="304"/>
      <c r="P74" s="303">
        <f>+SUMPRODUCT(mensilitàPacDettaglio1617*(struttureInterventiPacDettaglio=$B42)*(tipologiaInterventoPacDettaglio=B$36))</f>
        <v>0</v>
      </c>
      <c r="Q74" s="304"/>
      <c r="S74" s="295">
        <f t="shared" ref="S74:S80" si="21">+SUMPRODUCT(risorseNettePacDettaglio1516*(struttureInterventiPacDettaglio=$B42)*(tipologiaInterventoPacDettaglio=B$36))</f>
        <v>0</v>
      </c>
      <c r="T74" s="296"/>
      <c r="U74" s="295">
        <f t="shared" ref="U74:U80" si="22">+SUMPRODUCT(risorseNettePacDettaglio1617*(struttureInterventiPacDettaglio=$B42)*(tipologiaInterventoPacDettaglio=B$36))</f>
        <v>0</v>
      </c>
      <c r="V74" s="296"/>
      <c r="W74" s="124"/>
    </row>
    <row r="75" spans="2:23" x14ac:dyDescent="0.25">
      <c r="B75" s="302" t="str">
        <f t="shared" ref="B75:B80" si="23">+B64</f>
        <v>Comune di San Filippo del Mela</v>
      </c>
      <c r="C75" s="302"/>
      <c r="D75" s="302"/>
      <c r="E75" s="302"/>
      <c r="F75" s="302"/>
      <c r="G75" s="303">
        <f t="shared" si="18"/>
        <v>0</v>
      </c>
      <c r="H75" s="304"/>
      <c r="I75" s="303">
        <f t="shared" si="19"/>
        <v>0</v>
      </c>
      <c r="J75" s="304"/>
      <c r="K75" s="303">
        <f t="shared" si="20"/>
        <v>0</v>
      </c>
      <c r="L75" s="304"/>
      <c r="M75" s="120"/>
      <c r="N75" s="303">
        <f t="shared" ref="N75:N80" si="24">+SUMPRODUCT(mensilitàPacDettaglio1516*(struttureInterventiPacDettaglio=$B43)*(tipologiaInterventoPacDettaglio=B$36))</f>
        <v>0</v>
      </c>
      <c r="O75" s="304"/>
      <c r="P75" s="303">
        <f t="shared" ref="P75:P80" si="25">+SUMPRODUCT(mensilitàPacDettaglio1617*(struttureInterventiPacDettaglio=$B43)*(tipologiaInterventoPacDettaglio=B$36))</f>
        <v>0</v>
      </c>
      <c r="Q75" s="304"/>
      <c r="S75" s="295">
        <f t="shared" si="21"/>
        <v>0</v>
      </c>
      <c r="T75" s="296"/>
      <c r="U75" s="295">
        <f t="shared" si="22"/>
        <v>0</v>
      </c>
      <c r="V75" s="296"/>
      <c r="W75" s="124"/>
    </row>
    <row r="76" spans="2:23" x14ac:dyDescent="0.25">
      <c r="B76" s="302" t="str">
        <f t="shared" si="23"/>
        <v>Comune di Santa Lucia del Mela</v>
      </c>
      <c r="C76" s="302"/>
      <c r="D76" s="302"/>
      <c r="E76" s="302"/>
      <c r="F76" s="302"/>
      <c r="G76" s="303">
        <f t="shared" si="18"/>
        <v>0</v>
      </c>
      <c r="H76" s="304"/>
      <c r="I76" s="303">
        <f t="shared" si="19"/>
        <v>0</v>
      </c>
      <c r="J76" s="304"/>
      <c r="K76" s="303">
        <f t="shared" si="20"/>
        <v>0</v>
      </c>
      <c r="L76" s="304"/>
      <c r="M76" s="120"/>
      <c r="N76" s="303">
        <f t="shared" si="24"/>
        <v>0</v>
      </c>
      <c r="O76" s="304"/>
      <c r="P76" s="303">
        <f t="shared" si="25"/>
        <v>0</v>
      </c>
      <c r="Q76" s="304"/>
      <c r="S76" s="295">
        <f t="shared" si="21"/>
        <v>0</v>
      </c>
      <c r="T76" s="296"/>
      <c r="U76" s="295">
        <f t="shared" si="22"/>
        <v>0</v>
      </c>
      <c r="V76" s="296"/>
      <c r="W76" s="124"/>
    </row>
    <row r="77" spans="2:23" x14ac:dyDescent="0.25">
      <c r="B77" s="302" t="str">
        <f t="shared" si="23"/>
        <v>Comune di Venetico</v>
      </c>
      <c r="C77" s="302"/>
      <c r="D77" s="302"/>
      <c r="E77" s="302"/>
      <c r="F77" s="302"/>
      <c r="G77" s="303">
        <f t="shared" si="18"/>
        <v>0</v>
      </c>
      <c r="H77" s="304"/>
      <c r="I77" s="303">
        <f t="shared" si="19"/>
        <v>0</v>
      </c>
      <c r="J77" s="304"/>
      <c r="K77" s="303">
        <f t="shared" si="20"/>
        <v>0</v>
      </c>
      <c r="L77" s="304"/>
      <c r="M77" s="120"/>
      <c r="N77" s="303">
        <f t="shared" si="24"/>
        <v>0</v>
      </c>
      <c r="O77" s="304"/>
      <c r="P77" s="303">
        <f t="shared" si="25"/>
        <v>0</v>
      </c>
      <c r="Q77" s="304"/>
      <c r="S77" s="295">
        <f t="shared" si="21"/>
        <v>0</v>
      </c>
      <c r="T77" s="296"/>
      <c r="U77" s="295">
        <f t="shared" si="22"/>
        <v>0</v>
      </c>
      <c r="V77" s="296"/>
      <c r="W77" s="124"/>
    </row>
    <row r="78" spans="2:23" x14ac:dyDescent="0.25">
      <c r="B78" s="302">
        <f t="shared" si="23"/>
        <v>0</v>
      </c>
      <c r="C78" s="302"/>
      <c r="D78" s="302"/>
      <c r="E78" s="302"/>
      <c r="F78" s="302"/>
      <c r="G78" s="303">
        <f t="shared" si="18"/>
        <v>0</v>
      </c>
      <c r="H78" s="304"/>
      <c r="I78" s="303">
        <f t="shared" si="19"/>
        <v>0</v>
      </c>
      <c r="J78" s="304"/>
      <c r="K78" s="303">
        <f t="shared" si="20"/>
        <v>0</v>
      </c>
      <c r="L78" s="304"/>
      <c r="M78" s="120"/>
      <c r="N78" s="303">
        <f t="shared" si="24"/>
        <v>0</v>
      </c>
      <c r="O78" s="304"/>
      <c r="P78" s="303">
        <f t="shared" si="25"/>
        <v>0</v>
      </c>
      <c r="Q78" s="304"/>
      <c r="S78" s="295">
        <f t="shared" si="21"/>
        <v>0</v>
      </c>
      <c r="T78" s="296"/>
      <c r="U78" s="295">
        <f t="shared" si="22"/>
        <v>0</v>
      </c>
      <c r="V78" s="296"/>
      <c r="W78" s="124"/>
    </row>
    <row r="79" spans="2:23" x14ac:dyDescent="0.25">
      <c r="B79" s="302">
        <f t="shared" si="23"/>
        <v>0</v>
      </c>
      <c r="C79" s="302"/>
      <c r="D79" s="302"/>
      <c r="E79" s="302"/>
      <c r="F79" s="302"/>
      <c r="G79" s="303">
        <f t="shared" si="18"/>
        <v>0</v>
      </c>
      <c r="H79" s="304"/>
      <c r="I79" s="303">
        <f t="shared" si="19"/>
        <v>0</v>
      </c>
      <c r="J79" s="304"/>
      <c r="K79" s="303">
        <f t="shared" si="20"/>
        <v>0</v>
      </c>
      <c r="L79" s="304"/>
      <c r="M79" s="120"/>
      <c r="N79" s="303">
        <f t="shared" si="24"/>
        <v>0</v>
      </c>
      <c r="O79" s="304"/>
      <c r="P79" s="303">
        <f t="shared" si="25"/>
        <v>0</v>
      </c>
      <c r="Q79" s="304"/>
      <c r="S79" s="295">
        <f t="shared" si="21"/>
        <v>0</v>
      </c>
      <c r="T79" s="296"/>
      <c r="U79" s="295">
        <f t="shared" si="22"/>
        <v>0</v>
      </c>
      <c r="V79" s="296"/>
      <c r="W79" s="124"/>
    </row>
    <row r="80" spans="2:23" x14ac:dyDescent="0.25">
      <c r="B80" s="302">
        <f t="shared" si="23"/>
        <v>0</v>
      </c>
      <c r="C80" s="302"/>
      <c r="D80" s="302"/>
      <c r="E80" s="302"/>
      <c r="F80" s="302"/>
      <c r="G80" s="303">
        <f t="shared" si="18"/>
        <v>0</v>
      </c>
      <c r="H80" s="304"/>
      <c r="I80" s="303">
        <f t="shared" si="19"/>
        <v>0</v>
      </c>
      <c r="J80" s="304"/>
      <c r="K80" s="303">
        <f t="shared" si="20"/>
        <v>0</v>
      </c>
      <c r="L80" s="304"/>
      <c r="M80" s="120"/>
      <c r="N80" s="303">
        <f t="shared" si="24"/>
        <v>0</v>
      </c>
      <c r="O80" s="304"/>
      <c r="P80" s="303">
        <f t="shared" si="25"/>
        <v>0</v>
      </c>
      <c r="Q80" s="304"/>
      <c r="S80" s="295">
        <f t="shared" si="21"/>
        <v>0</v>
      </c>
      <c r="T80" s="296"/>
      <c r="U80" s="295">
        <f t="shared" si="22"/>
        <v>0</v>
      </c>
      <c r="V80" s="296"/>
      <c r="W80" s="124"/>
    </row>
    <row r="81" spans="1:27" x14ac:dyDescent="0.25">
      <c r="B81" s="299" t="s">
        <v>19</v>
      </c>
      <c r="C81" s="299"/>
      <c r="D81" s="299"/>
      <c r="E81" s="299"/>
      <c r="F81" s="299"/>
      <c r="G81" s="297">
        <f>+SUM(G74:H80)</f>
        <v>0</v>
      </c>
      <c r="H81" s="298"/>
      <c r="I81" s="297">
        <f>+SUM(I74:J80)</f>
        <v>0</v>
      </c>
      <c r="J81" s="298"/>
      <c r="K81" s="297">
        <f>+SUM(K74:L80)</f>
        <v>0</v>
      </c>
      <c r="L81" s="298"/>
      <c r="M81" s="184"/>
      <c r="N81" s="297">
        <f>+SUM(N74:O80)</f>
        <v>0</v>
      </c>
      <c r="O81" s="298"/>
      <c r="P81" s="297">
        <f>+SUM(P74:Q80)</f>
        <v>0</v>
      </c>
      <c r="Q81" s="298"/>
      <c r="R81" s="35"/>
      <c r="S81" s="300">
        <f>+SUM(S74:T80)</f>
        <v>0</v>
      </c>
      <c r="T81" s="301"/>
      <c r="U81" s="300">
        <f>+SUM(U74:V80)</f>
        <v>0</v>
      </c>
      <c r="V81" s="301"/>
      <c r="W81" s="124"/>
    </row>
    <row r="82" spans="1:27" x14ac:dyDescent="0.25">
      <c r="B82" s="167"/>
      <c r="C82" s="125"/>
      <c r="D82" s="125"/>
      <c r="E82" s="125"/>
      <c r="F82" s="125"/>
      <c r="G82" s="125"/>
      <c r="H82" s="125"/>
      <c r="I82" s="125"/>
      <c r="J82" s="125"/>
      <c r="K82" s="120"/>
      <c r="L82" s="120"/>
      <c r="M82" s="120"/>
      <c r="N82" s="120"/>
      <c r="O82" s="120"/>
      <c r="P82" s="120"/>
      <c r="Q82" s="120"/>
      <c r="S82" s="124"/>
      <c r="T82" s="124"/>
      <c r="U82" s="124"/>
      <c r="V82" s="124"/>
      <c r="W82" s="124"/>
    </row>
    <row r="83" spans="1:27" x14ac:dyDescent="0.25">
      <c r="B83" s="167"/>
      <c r="C83" s="125"/>
      <c r="D83" s="125"/>
      <c r="E83" s="125"/>
      <c r="F83" s="125"/>
      <c r="G83" s="308" t="s">
        <v>272</v>
      </c>
      <c r="H83" s="308"/>
      <c r="I83" s="308"/>
      <c r="J83" s="308"/>
      <c r="K83" s="308"/>
      <c r="L83" s="308"/>
      <c r="M83" s="120"/>
      <c r="N83" s="329" t="s">
        <v>282</v>
      </c>
      <c r="O83" s="361"/>
      <c r="P83" s="361"/>
      <c r="Q83" s="330"/>
      <c r="S83" s="297" t="s">
        <v>291</v>
      </c>
      <c r="T83" s="307"/>
      <c r="U83" s="307"/>
      <c r="V83" s="298"/>
      <c r="W83" s="124"/>
    </row>
    <row r="84" spans="1:27" x14ac:dyDescent="0.25">
      <c r="B84" s="332" t="s">
        <v>326</v>
      </c>
      <c r="C84" s="333"/>
      <c r="D84" s="333"/>
      <c r="E84" s="333"/>
      <c r="F84" s="333"/>
      <c r="G84" s="309" t="s">
        <v>269</v>
      </c>
      <c r="H84" s="310"/>
      <c r="I84" s="309" t="s">
        <v>139</v>
      </c>
      <c r="J84" s="310"/>
      <c r="K84" s="309" t="s">
        <v>265</v>
      </c>
      <c r="L84" s="310"/>
      <c r="M84" s="166" t="s">
        <v>20</v>
      </c>
      <c r="N84" s="305" t="s">
        <v>280</v>
      </c>
      <c r="O84" s="306"/>
      <c r="P84" s="305" t="s">
        <v>281</v>
      </c>
      <c r="Q84" s="306"/>
      <c r="S84" s="305" t="s">
        <v>280</v>
      </c>
      <c r="T84" s="306"/>
      <c r="U84" s="305" t="s">
        <v>281</v>
      </c>
      <c r="V84" s="306"/>
      <c r="W84" s="124"/>
    </row>
    <row r="85" spans="1:27" x14ac:dyDescent="0.25">
      <c r="B85" s="302" t="str">
        <f>+B74</f>
        <v>Comune di Gualtieri Sicaminò</v>
      </c>
      <c r="C85" s="302"/>
      <c r="D85" s="302"/>
      <c r="E85" s="302"/>
      <c r="F85" s="302"/>
      <c r="G85" s="303">
        <f t="shared" ref="G85:G91" si="26">+SUMPRODUCT(utentiPacDettaglio*(struttureInterventiPacDettaglio=$B42)*(tipologiaInterventoPacDettaglio=B$37))</f>
        <v>0</v>
      </c>
      <c r="H85" s="304"/>
      <c r="I85" s="303">
        <f t="shared" ref="I85:I91" si="27">+SUMPRODUCT(oreServizioPacDettaglio*(struttureInterventiPacDettaglio=$B42)*(tipologiaInterventoPacDettaglio=B$37))</f>
        <v>0</v>
      </c>
      <c r="J85" s="304"/>
      <c r="K85" s="303">
        <f t="shared" ref="K85:K91" si="28">+SUMPRODUCT(mensilitàPacDettaglio*(struttureInterventiPacDettaglio=$B42)*(tipologiaInterventoPacDettaglio=B$37))</f>
        <v>0</v>
      </c>
      <c r="L85" s="304"/>
      <c r="M85" s="120"/>
      <c r="N85" s="303">
        <f t="shared" ref="N85:N91" si="29">+SUMPRODUCT(mensilitàPacDettaglio1516*(struttureInterventiPacDettaglio=$B42)*(tipologiaInterventoPacDettaglio=B$37))</f>
        <v>0</v>
      </c>
      <c r="O85" s="304"/>
      <c r="P85" s="303">
        <f t="shared" ref="P85:P91" si="30">+SUMPRODUCT(mensilitàPacDettaglio1617*(struttureInterventiPacDettaglio=$B42)*(tipologiaInterventoPacDettaglio=B$37))</f>
        <v>0</v>
      </c>
      <c r="Q85" s="304"/>
      <c r="S85" s="295">
        <f t="shared" ref="S85:S91" si="31">+SUMPRODUCT(risorseNettePacDettaglio1516*(struttureInterventiPacDettaglio=$B42)*(tipologiaInterventoPacDettaglio=B$37))</f>
        <v>0</v>
      </c>
      <c r="T85" s="296"/>
      <c r="U85" s="295">
        <f t="shared" ref="U85:U91" si="32">+SUMPRODUCT(risorseNettePacDettaglio1617*(struttureInterventiPacDettaglio=$B42)*(tipologiaInterventoPacDettaglio=B$37))</f>
        <v>0</v>
      </c>
      <c r="V85" s="296"/>
      <c r="W85" s="124"/>
    </row>
    <row r="86" spans="1:27" x14ac:dyDescent="0.25">
      <c r="B86" s="302" t="str">
        <f t="shared" ref="B86:B91" si="33">+B75</f>
        <v>Comune di San Filippo del Mela</v>
      </c>
      <c r="C86" s="302"/>
      <c r="D86" s="302"/>
      <c r="E86" s="302"/>
      <c r="F86" s="302"/>
      <c r="G86" s="303">
        <f t="shared" si="26"/>
        <v>0</v>
      </c>
      <c r="H86" s="304"/>
      <c r="I86" s="303">
        <f t="shared" si="27"/>
        <v>0</v>
      </c>
      <c r="J86" s="304"/>
      <c r="K86" s="303">
        <f t="shared" si="28"/>
        <v>0</v>
      </c>
      <c r="L86" s="304"/>
      <c r="M86" s="120"/>
      <c r="N86" s="303">
        <f t="shared" si="29"/>
        <v>0</v>
      </c>
      <c r="O86" s="304"/>
      <c r="P86" s="303">
        <f t="shared" si="30"/>
        <v>0</v>
      </c>
      <c r="Q86" s="304"/>
      <c r="S86" s="295">
        <f t="shared" si="31"/>
        <v>0</v>
      </c>
      <c r="T86" s="296"/>
      <c r="U86" s="295">
        <f t="shared" si="32"/>
        <v>0</v>
      </c>
      <c r="V86" s="296"/>
      <c r="W86" s="124"/>
    </row>
    <row r="87" spans="1:27" x14ac:dyDescent="0.25">
      <c r="B87" s="302" t="str">
        <f t="shared" si="33"/>
        <v>Comune di Santa Lucia del Mela</v>
      </c>
      <c r="C87" s="302"/>
      <c r="D87" s="302"/>
      <c r="E87" s="302"/>
      <c r="F87" s="302"/>
      <c r="G87" s="303">
        <f t="shared" si="26"/>
        <v>0</v>
      </c>
      <c r="H87" s="304"/>
      <c r="I87" s="303">
        <f t="shared" si="27"/>
        <v>0</v>
      </c>
      <c r="J87" s="304"/>
      <c r="K87" s="303">
        <f t="shared" si="28"/>
        <v>0</v>
      </c>
      <c r="L87" s="304"/>
      <c r="M87" s="120"/>
      <c r="N87" s="303">
        <f t="shared" si="29"/>
        <v>0</v>
      </c>
      <c r="O87" s="304"/>
      <c r="P87" s="303">
        <f t="shared" si="30"/>
        <v>0</v>
      </c>
      <c r="Q87" s="304"/>
      <c r="S87" s="295">
        <f t="shared" si="31"/>
        <v>0</v>
      </c>
      <c r="T87" s="296"/>
      <c r="U87" s="295">
        <f t="shared" si="32"/>
        <v>0</v>
      </c>
      <c r="V87" s="296"/>
      <c r="W87" s="124"/>
    </row>
    <row r="88" spans="1:27" x14ac:dyDescent="0.25">
      <c r="B88" s="302" t="str">
        <f t="shared" si="33"/>
        <v>Comune di Venetico</v>
      </c>
      <c r="C88" s="302"/>
      <c r="D88" s="302"/>
      <c r="E88" s="302"/>
      <c r="F88" s="302"/>
      <c r="G88" s="303">
        <f t="shared" si="26"/>
        <v>0</v>
      </c>
      <c r="H88" s="304"/>
      <c r="I88" s="303">
        <f t="shared" si="27"/>
        <v>0</v>
      </c>
      <c r="J88" s="304"/>
      <c r="K88" s="303">
        <f t="shared" si="28"/>
        <v>0</v>
      </c>
      <c r="L88" s="304"/>
      <c r="M88" s="120"/>
      <c r="N88" s="303">
        <f t="shared" si="29"/>
        <v>0</v>
      </c>
      <c r="O88" s="304"/>
      <c r="P88" s="303">
        <f t="shared" si="30"/>
        <v>0</v>
      </c>
      <c r="Q88" s="304"/>
      <c r="S88" s="295">
        <f t="shared" si="31"/>
        <v>0</v>
      </c>
      <c r="T88" s="296"/>
      <c r="U88" s="295">
        <f t="shared" si="32"/>
        <v>0</v>
      </c>
      <c r="V88" s="296"/>
      <c r="W88" s="124"/>
    </row>
    <row r="89" spans="1:27" x14ac:dyDescent="0.25">
      <c r="B89" s="302">
        <f t="shared" si="33"/>
        <v>0</v>
      </c>
      <c r="C89" s="302"/>
      <c r="D89" s="302"/>
      <c r="E89" s="302"/>
      <c r="F89" s="302"/>
      <c r="G89" s="303">
        <f t="shared" si="26"/>
        <v>0</v>
      </c>
      <c r="H89" s="304"/>
      <c r="I89" s="303">
        <f t="shared" si="27"/>
        <v>0</v>
      </c>
      <c r="J89" s="304"/>
      <c r="K89" s="303">
        <f t="shared" si="28"/>
        <v>0</v>
      </c>
      <c r="L89" s="304"/>
      <c r="M89" s="120"/>
      <c r="N89" s="303">
        <f t="shared" si="29"/>
        <v>0</v>
      </c>
      <c r="O89" s="304"/>
      <c r="P89" s="303">
        <f t="shared" si="30"/>
        <v>0</v>
      </c>
      <c r="Q89" s="304"/>
      <c r="S89" s="295">
        <f t="shared" si="31"/>
        <v>0</v>
      </c>
      <c r="T89" s="296"/>
      <c r="U89" s="295">
        <f t="shared" si="32"/>
        <v>0</v>
      </c>
      <c r="V89" s="296"/>
      <c r="W89" s="124"/>
    </row>
    <row r="90" spans="1:27" x14ac:dyDescent="0.25">
      <c r="B90" s="302">
        <f t="shared" si="33"/>
        <v>0</v>
      </c>
      <c r="C90" s="302"/>
      <c r="D90" s="302"/>
      <c r="E90" s="302"/>
      <c r="F90" s="302"/>
      <c r="G90" s="303">
        <f t="shared" si="26"/>
        <v>0</v>
      </c>
      <c r="H90" s="304"/>
      <c r="I90" s="303">
        <f t="shared" si="27"/>
        <v>0</v>
      </c>
      <c r="J90" s="304"/>
      <c r="K90" s="303">
        <f t="shared" si="28"/>
        <v>0</v>
      </c>
      <c r="L90" s="304"/>
      <c r="M90" s="120"/>
      <c r="N90" s="303">
        <f t="shared" si="29"/>
        <v>0</v>
      </c>
      <c r="O90" s="304"/>
      <c r="P90" s="303">
        <f t="shared" si="30"/>
        <v>0</v>
      </c>
      <c r="Q90" s="304"/>
      <c r="S90" s="295">
        <f t="shared" si="31"/>
        <v>0</v>
      </c>
      <c r="T90" s="296"/>
      <c r="U90" s="295">
        <f t="shared" si="32"/>
        <v>0</v>
      </c>
      <c r="V90" s="296"/>
      <c r="W90" s="124"/>
    </row>
    <row r="91" spans="1:27" x14ac:dyDescent="0.25">
      <c r="B91" s="302">
        <f t="shared" si="33"/>
        <v>0</v>
      </c>
      <c r="C91" s="302"/>
      <c r="D91" s="302"/>
      <c r="E91" s="302"/>
      <c r="F91" s="302"/>
      <c r="G91" s="303">
        <f t="shared" si="26"/>
        <v>0</v>
      </c>
      <c r="H91" s="304"/>
      <c r="I91" s="303">
        <f t="shared" si="27"/>
        <v>0</v>
      </c>
      <c r="J91" s="304"/>
      <c r="K91" s="303">
        <f t="shared" si="28"/>
        <v>0</v>
      </c>
      <c r="L91" s="304"/>
      <c r="M91" s="120"/>
      <c r="N91" s="303">
        <f t="shared" si="29"/>
        <v>0</v>
      </c>
      <c r="O91" s="304"/>
      <c r="P91" s="303">
        <f t="shared" si="30"/>
        <v>0</v>
      </c>
      <c r="Q91" s="304"/>
      <c r="S91" s="295">
        <f t="shared" si="31"/>
        <v>0</v>
      </c>
      <c r="T91" s="296"/>
      <c r="U91" s="295">
        <f t="shared" si="32"/>
        <v>0</v>
      </c>
      <c r="V91" s="296"/>
      <c r="W91" s="124"/>
    </row>
    <row r="92" spans="1:27" x14ac:dyDescent="0.25">
      <c r="B92" s="299" t="s">
        <v>19</v>
      </c>
      <c r="C92" s="299"/>
      <c r="D92" s="299"/>
      <c r="E92" s="299"/>
      <c r="F92" s="299"/>
      <c r="G92" s="297">
        <f>+SUM(G85:H91)</f>
        <v>0</v>
      </c>
      <c r="H92" s="298"/>
      <c r="I92" s="297">
        <f>+SUM(I85:J91)</f>
        <v>0</v>
      </c>
      <c r="J92" s="298"/>
      <c r="K92" s="297">
        <f>+SUM(K85:L91)</f>
        <v>0</v>
      </c>
      <c r="L92" s="298"/>
      <c r="M92" s="184"/>
      <c r="N92" s="297">
        <f>+SUM(N85:O91)</f>
        <v>0</v>
      </c>
      <c r="O92" s="298"/>
      <c r="P92" s="297">
        <f>+SUM(P85:Q91)</f>
        <v>0</v>
      </c>
      <c r="Q92" s="298"/>
      <c r="R92" s="35"/>
      <c r="S92" s="300">
        <f>+SUM(S85:T91)</f>
        <v>0</v>
      </c>
      <c r="T92" s="301"/>
      <c r="U92" s="300">
        <f>+SUM(U85:V91)</f>
        <v>0</v>
      </c>
      <c r="V92" s="301"/>
      <c r="W92" s="124"/>
    </row>
    <row r="93" spans="1:27" x14ac:dyDescent="0.25">
      <c r="B93" s="167"/>
      <c r="C93" s="125"/>
      <c r="D93" s="125"/>
      <c r="E93" s="125"/>
      <c r="F93" s="125"/>
      <c r="G93" s="125"/>
      <c r="H93" s="125"/>
      <c r="I93" s="125"/>
      <c r="J93" s="125"/>
      <c r="K93" s="120"/>
      <c r="L93" s="120"/>
      <c r="M93" s="120"/>
      <c r="N93" s="120"/>
      <c r="O93" s="120"/>
      <c r="P93" s="120"/>
      <c r="Q93" s="120"/>
      <c r="R93" s="120"/>
      <c r="S93" s="120"/>
      <c r="W93" s="124"/>
      <c r="X93" s="124"/>
      <c r="Y93" s="257"/>
      <c r="Z93" s="124"/>
      <c r="AA93" s="257"/>
    </row>
    <row r="95" spans="1:27" x14ac:dyDescent="0.25">
      <c r="A95" s="290" t="s">
        <v>164</v>
      </c>
      <c r="B95" s="291"/>
      <c r="C95" s="291"/>
      <c r="D95" s="291"/>
      <c r="E95" s="291"/>
      <c r="F95" s="291"/>
      <c r="G95" s="291"/>
      <c r="H95" s="291"/>
      <c r="I95" s="291"/>
      <c r="J95" s="291"/>
      <c r="K95" s="291"/>
      <c r="L95" s="291"/>
      <c r="M95" s="291"/>
      <c r="N95" s="291"/>
      <c r="O95" s="292"/>
    </row>
    <row r="96" spans="1:27" x14ac:dyDescent="0.25">
      <c r="A96" s="284" t="s">
        <v>165</v>
      </c>
      <c r="B96" s="318"/>
      <c r="C96" s="318"/>
      <c r="D96" s="318"/>
      <c r="E96" s="318"/>
      <c r="F96" s="318"/>
      <c r="G96" s="123"/>
      <c r="H96" s="339" t="s">
        <v>166</v>
      </c>
      <c r="I96" s="339"/>
      <c r="J96" s="339"/>
      <c r="K96" s="339"/>
      <c r="L96" s="339" t="s">
        <v>24</v>
      </c>
      <c r="M96" s="339"/>
      <c r="N96" s="339"/>
      <c r="O96" s="294"/>
    </row>
    <row r="97" spans="1:31" s="121" customFormat="1" ht="30" x14ac:dyDescent="0.25">
      <c r="B97" s="336" t="str">
        <f>+IF(ISERROR(INDEX(INPUT!$B$131:$B$139,MATCH(2,INPUT!$U$131:$U$139,0))),"",AE97)</f>
        <v>Educatore Professionale - CCNL Cooperative - D2 (costo orario 18,97 €/ora)</v>
      </c>
      <c r="C97" s="337"/>
      <c r="D97" s="337"/>
      <c r="E97" s="337"/>
      <c r="F97" s="337"/>
      <c r="G97" s="338"/>
      <c r="H97" s="340">
        <f>+IF(ISERROR(INDEX(INPUT!$G$131:$G$139,MATCH(2,INPUT!$U$131:$U$139,0))),"",INDEX(INPUT!$G$131:$G$139,MATCH(2,INPUT!$U$131:$U$139,0)))</f>
        <v>4601.6459999999997</v>
      </c>
      <c r="I97" s="341"/>
      <c r="J97" s="341"/>
      <c r="K97" s="342"/>
      <c r="L97" s="343">
        <f>+IF(ISERROR(INDEX(INPUT!$H$131:$H$139,MATCH(2,INPUT!$U$131:$U$139,0))),"",INDEX(INPUT!$H$131:$H$139,MATCH(2,INPUT!$U$131:$U$139,0)))</f>
        <v>87293.224619999994</v>
      </c>
      <c r="M97" s="344"/>
      <c r="N97" s="344"/>
      <c r="O97" s="345"/>
      <c r="Y97" s="252"/>
      <c r="AA97" s="252" t="str">
        <f>+B97</f>
        <v>Educatore Professionale - CCNL Cooperative - D2 (costo orario 18,97 €/ora)</v>
      </c>
      <c r="AC97" s="250">
        <v>2</v>
      </c>
      <c r="AD97" s="250">
        <f>+INDEX(INPUT!$V$131:$V$139,MATCH('SCHEDA DI INTERVENTO'!AC97,INPUT!$U$131:$U$139,0))</f>
        <v>0</v>
      </c>
      <c r="AE97" s="250" t="str">
        <f>+INDEX(INPUT!$W$131:$W$139,MATCH('SCHEDA DI INTERVENTO'!AC97,INPUT!$U$131:$U$139,0))</f>
        <v>Educatore Professionale - CCNL Cooperative - D2 (costo orario 18,97 €/ora)</v>
      </c>
    </row>
    <row r="98" spans="1:31" s="121" customFormat="1" ht="30" x14ac:dyDescent="0.25">
      <c r="B98" s="336" t="str">
        <f>+IF(ISERROR(INDEX(INPUT!$B$131:$B$139,MATCH(3,INPUT!$U$131:$U$139,0))),"",AE98)</f>
        <v>Ausiliario - CCNL Cooperative - B1 (costo orario 15,67 €/ora)</v>
      </c>
      <c r="C98" s="337"/>
      <c r="D98" s="337"/>
      <c r="E98" s="337"/>
      <c r="F98" s="337"/>
      <c r="G98" s="338"/>
      <c r="H98" s="340">
        <f>+IF(ISERROR(INDEX(INPUT!$G$131:$G$139,MATCH(3,INPUT!$U$131:$U$139,0))),"",INDEX(INPUT!$G$131:$G$139,MATCH(3,INPUT!$U$131:$U$139,0)))</f>
        <v>3067.7640000000001</v>
      </c>
      <c r="I98" s="341"/>
      <c r="J98" s="341"/>
      <c r="K98" s="342"/>
      <c r="L98" s="343">
        <f>+IF(ISERROR(INDEX(INPUT!$H$131:$H$139,MATCH(3,INPUT!$U$131:$U$139,0))),"",INDEX(INPUT!$H$131:$H$139,MATCH(3,INPUT!$U$131:$U$139,0)))</f>
        <v>48071.861880000004</v>
      </c>
      <c r="M98" s="344"/>
      <c r="N98" s="344"/>
      <c r="O98" s="345"/>
      <c r="Y98" s="252"/>
      <c r="AA98" s="252" t="str">
        <f t="shared" ref="AA98:AA104" si="34">+B98</f>
        <v>Ausiliario - CCNL Cooperative - B1 (costo orario 15,67 €/ora)</v>
      </c>
      <c r="AC98" s="250">
        <v>3</v>
      </c>
      <c r="AD98" s="250">
        <f>+INDEX(INPUT!$V$131:$V$139,MATCH('SCHEDA DI INTERVENTO'!AC98,INPUT!$U$131:$U$139,0))</f>
        <v>0</v>
      </c>
      <c r="AE98" s="250" t="str">
        <f>+INDEX(INPUT!$W$131:$W$139,MATCH('SCHEDA DI INTERVENTO'!AC98,INPUT!$U$131:$U$139,0))</f>
        <v>Ausiliario - CCNL Cooperative - B1 (costo orario 15,67 €/ora)</v>
      </c>
    </row>
    <row r="99" spans="1:31" s="121" customFormat="1" ht="30" x14ac:dyDescent="0.25">
      <c r="B99" s="336" t="str">
        <f>+IF(ISERROR(INDEX(INPUT!$B$131:$B$139,MATCH(4,INPUT!$U$131:$U$139,0))),"",AE99)</f>
        <v>Cuoco - CCNL Cooperative - C1 (costo orario 16,89 €/ora)</v>
      </c>
      <c r="C99" s="337"/>
      <c r="D99" s="337"/>
      <c r="E99" s="337"/>
      <c r="F99" s="337"/>
      <c r="G99" s="338"/>
      <c r="H99" s="340">
        <f>+IF(ISERROR(INDEX(INPUT!$G$131:$G$139,MATCH(4,INPUT!$U$131:$U$139,0))),"",INDEX(INPUT!$G$131:$G$139,MATCH(4,INPUT!$U$131:$U$139,0)))</f>
        <v>511.29399999999998</v>
      </c>
      <c r="I99" s="341"/>
      <c r="J99" s="341"/>
      <c r="K99" s="342"/>
      <c r="L99" s="343">
        <f>+IF(ISERROR(INDEX(INPUT!$H$131:$H$139,MATCH(4,INPUT!$U$131:$U$139,0))),"",INDEX(INPUT!$H$131:$H$139,MATCH(4,INPUT!$U$131:$U$139,0)))</f>
        <v>8635.7556600000007</v>
      </c>
      <c r="M99" s="344"/>
      <c r="N99" s="344"/>
      <c r="O99" s="345"/>
      <c r="Y99" s="252"/>
      <c r="AA99" s="252" t="str">
        <f t="shared" si="34"/>
        <v>Cuoco - CCNL Cooperative - C1 (costo orario 16,89 €/ora)</v>
      </c>
      <c r="AC99" s="250">
        <v>4</v>
      </c>
      <c r="AD99" s="250">
        <f>+INDEX(INPUT!$V$131:$V$139,MATCH('SCHEDA DI INTERVENTO'!AC99,INPUT!$U$131:$U$139,0))</f>
        <v>0</v>
      </c>
      <c r="AE99" s="250" t="str">
        <f>+INDEX(INPUT!$W$131:$W$139,MATCH('SCHEDA DI INTERVENTO'!AC99,INPUT!$U$131:$U$139,0))</f>
        <v>Cuoco - CCNL Cooperative - C1 (costo orario 16,89 €/ora)</v>
      </c>
    </row>
    <row r="100" spans="1:31" s="121" customFormat="1" x14ac:dyDescent="0.25">
      <c r="B100" s="336" t="str">
        <f>+IF(ISERROR(INDEX(INPUT!$B$131:$B$139,MATCH(5,INPUT!$U$131:$U$139,0))),"",AE100)</f>
        <v>Spese generali</v>
      </c>
      <c r="C100" s="337"/>
      <c r="D100" s="337"/>
      <c r="E100" s="337"/>
      <c r="F100" s="337"/>
      <c r="G100" s="338"/>
      <c r="H100" s="340">
        <f>+IF(ISERROR(INDEX(INPUT!$G$131:$G$139,MATCH(5,INPUT!$U$131:$U$139,0))),"",INDEX(INPUT!$G$131:$G$139,MATCH(5,INPUT!$U$131:$U$139,0)))</f>
        <v>0.03</v>
      </c>
      <c r="I100" s="341"/>
      <c r="J100" s="341"/>
      <c r="K100" s="342"/>
      <c r="L100" s="343">
        <f>+IF(ISERROR(INDEX(INPUT!$H$131:$H$139,MATCH(5,INPUT!$U$131:$U$139,0))),"",INDEX(INPUT!$H$131:$H$139,MATCH(5,INPUT!$U$131:$U$139,0)))</f>
        <v>4320.0252647999996</v>
      </c>
      <c r="M100" s="344"/>
      <c r="N100" s="344"/>
      <c r="O100" s="345"/>
      <c r="Y100" s="252"/>
      <c r="AA100" s="252" t="str">
        <f t="shared" si="34"/>
        <v>Spese generali</v>
      </c>
      <c r="AC100" s="250">
        <v>5</v>
      </c>
      <c r="AD100" s="250" t="str">
        <f>+INDEX(INPUT!$V$131:$V$139,MATCH('SCHEDA DI INTERVENTO'!AC100,INPUT!$U$131:$U$139,0))</f>
        <v>percentuale</v>
      </c>
      <c r="AE100" s="250" t="str">
        <f>+INDEX(INPUT!$W$131:$W$139,MATCH('SCHEDA DI INTERVENTO'!AC100,INPUT!$U$131:$U$139,0))</f>
        <v>Spese generali</v>
      </c>
    </row>
    <row r="101" spans="1:31" s="121" customFormat="1" x14ac:dyDescent="0.25">
      <c r="B101" s="336" t="str">
        <f>+IF(ISERROR(INDEX(INPUT!$B$131:$B$139,MATCH(6,INPUT!$U$131:$U$139,0))),"",AE101)</f>
        <v/>
      </c>
      <c r="C101" s="337"/>
      <c r="D101" s="337"/>
      <c r="E101" s="337"/>
      <c r="F101" s="337"/>
      <c r="G101" s="338"/>
      <c r="H101" s="340" t="str">
        <f>+IF(ISERROR(INDEX(INPUT!$G$131:$G$139,MATCH(6,INPUT!$U$131:$U$139,0))),"",INDEX(INPUT!$G$131:$G$139,MATCH(6,INPUT!$U$131:$U$139,0)))</f>
        <v/>
      </c>
      <c r="I101" s="341"/>
      <c r="J101" s="341"/>
      <c r="K101" s="342"/>
      <c r="L101" s="343" t="str">
        <f>+IF(ISERROR(INDEX(INPUT!$H$131:$H$139,MATCH(6,INPUT!$U$131:$U$139,0))),"",INDEX(INPUT!$H$131:$H$139,MATCH(6,INPUT!$U$131:$U$139,0)))</f>
        <v/>
      </c>
      <c r="M101" s="344"/>
      <c r="N101" s="344"/>
      <c r="O101" s="345"/>
      <c r="Y101" s="252"/>
      <c r="AA101" s="252" t="str">
        <f t="shared" si="34"/>
        <v/>
      </c>
      <c r="AC101" s="250">
        <v>6</v>
      </c>
      <c r="AD101" s="250" t="e">
        <f>+INDEX(INPUT!$V$131:$V$139,MATCH('SCHEDA DI INTERVENTO'!AC101,INPUT!$U$131:$U$139,0))</f>
        <v>#N/A</v>
      </c>
      <c r="AE101" s="250" t="e">
        <f>+INDEX(INPUT!$W$131:$W$139,MATCH('SCHEDA DI INTERVENTO'!AC101,INPUT!$U$131:$U$139,0))</f>
        <v>#N/A</v>
      </c>
    </row>
    <row r="102" spans="1:31" s="121" customFormat="1" x14ac:dyDescent="0.25">
      <c r="B102" s="336" t="str">
        <f>+IF(ISERROR(INDEX(INPUT!$B$131:$B$139,MATCH(7,INPUT!$U$131:$U$139,0))),"",AE102)</f>
        <v/>
      </c>
      <c r="C102" s="337"/>
      <c r="D102" s="337"/>
      <c r="E102" s="337"/>
      <c r="F102" s="337"/>
      <c r="G102" s="338"/>
      <c r="H102" s="340" t="str">
        <f>+IF(ISERROR(INDEX(INPUT!$G$131:$G$139,MATCH(7,INPUT!$U$131:$U$139,0))),"",INDEX(INPUT!$G$131:$G$139,MATCH(7,INPUT!$U$131:$U$139,0)))</f>
        <v/>
      </c>
      <c r="I102" s="341"/>
      <c r="J102" s="341"/>
      <c r="K102" s="342"/>
      <c r="L102" s="343" t="str">
        <f>+IF(ISERROR(INDEX(INPUT!$H$131:$H$139,MATCH(7,INPUT!$U$131:$U$139,0))),"",INDEX(INPUT!$H$131:$H$139,MATCH(7,INPUT!$U$131:$U$139,0)))</f>
        <v/>
      </c>
      <c r="M102" s="344"/>
      <c r="N102" s="344"/>
      <c r="O102" s="345"/>
      <c r="Y102" s="252"/>
      <c r="AA102" s="252" t="str">
        <f t="shared" si="34"/>
        <v/>
      </c>
      <c r="AC102" s="250">
        <v>7</v>
      </c>
      <c r="AD102" s="250" t="e">
        <f>+INDEX(INPUT!$V$131:$V$139,MATCH('SCHEDA DI INTERVENTO'!AC102,INPUT!$U$131:$U$139,0))</f>
        <v>#N/A</v>
      </c>
      <c r="AE102" s="250" t="e">
        <f>+INDEX(INPUT!$W$131:$W$139,MATCH('SCHEDA DI INTERVENTO'!AC102,INPUT!$U$131:$U$139,0))</f>
        <v>#N/A</v>
      </c>
    </row>
    <row r="103" spans="1:31" s="121" customFormat="1" x14ac:dyDescent="0.25">
      <c r="B103" s="336" t="str">
        <f>+IF(ISERROR(INDEX(INPUT!$B$131:$B$139,MATCH(8,INPUT!$U$131:$U$139,0))),"",AE103)</f>
        <v/>
      </c>
      <c r="C103" s="337"/>
      <c r="D103" s="337"/>
      <c r="E103" s="337"/>
      <c r="F103" s="337"/>
      <c r="G103" s="338"/>
      <c r="H103" s="340" t="str">
        <f>+IF(ISERROR(INDEX(INPUT!$G$131:$G$139,MATCH(8,INPUT!$U$131:$U$139,0))),"",INDEX(INPUT!$G$131:$G$139,MATCH(8,INPUT!$U$131:$U$139,0)))</f>
        <v/>
      </c>
      <c r="I103" s="341"/>
      <c r="J103" s="341"/>
      <c r="K103" s="342"/>
      <c r="L103" s="343" t="str">
        <f>+IF(ISERROR(INDEX(INPUT!$H$131:$H$139,MATCH(8,INPUT!$U$131:$U$139,0))),"",INDEX(INPUT!$H$131:$H$139,MATCH(8,INPUT!$U$131:$U$139,0)))</f>
        <v/>
      </c>
      <c r="M103" s="344"/>
      <c r="N103" s="344"/>
      <c r="O103" s="345"/>
      <c r="Y103" s="252"/>
      <c r="AA103" s="252" t="str">
        <f t="shared" si="34"/>
        <v/>
      </c>
      <c r="AC103" s="250">
        <v>8</v>
      </c>
      <c r="AD103" s="250" t="e">
        <f>+INDEX(INPUT!$V$131:$V$139,MATCH('SCHEDA DI INTERVENTO'!AC103,INPUT!$U$131:$U$139,0))</f>
        <v>#N/A</v>
      </c>
      <c r="AE103" s="250" t="e">
        <f>+INDEX(INPUT!$W$131:$W$139,MATCH('SCHEDA DI INTERVENTO'!AC103,INPUT!$U$131:$U$139,0))</f>
        <v>#N/A</v>
      </c>
    </row>
    <row r="104" spans="1:31" s="121" customFormat="1" x14ac:dyDescent="0.25">
      <c r="B104" s="336" t="str">
        <f>+IF(ISERROR(INDEX(INPUT!$B$131:$B$139,MATCH(9,INPUT!$U$131:$U$139,0))),"",AE104)</f>
        <v/>
      </c>
      <c r="C104" s="337"/>
      <c r="D104" s="337"/>
      <c r="E104" s="337"/>
      <c r="F104" s="337"/>
      <c r="G104" s="338"/>
      <c r="H104" s="340" t="str">
        <f>+IF(ISERROR(INDEX(INPUT!$G$131:$G$139,MATCH(9,INPUT!$U$131:$U$139,0))),"",INDEX(INPUT!$G$131:$G$139,MATCH(9,INPUT!$U$131:$U$139,0)))</f>
        <v/>
      </c>
      <c r="I104" s="341"/>
      <c r="J104" s="341"/>
      <c r="K104" s="342"/>
      <c r="L104" s="343" t="str">
        <f>+IF(ISERROR(INDEX(INPUT!$H$131:$H$139,MATCH(9,INPUT!$U$131:$U$139,0))),"",INDEX(INPUT!$H$131:$H$139,MATCH(9,INPUT!$U$131:$U$139,0)))</f>
        <v/>
      </c>
      <c r="M104" s="344"/>
      <c r="N104" s="344"/>
      <c r="O104" s="345"/>
      <c r="Y104" s="252"/>
      <c r="AA104" s="252" t="str">
        <f t="shared" si="34"/>
        <v/>
      </c>
      <c r="AC104" s="250">
        <v>9</v>
      </c>
      <c r="AD104" s="250" t="e">
        <f>+INDEX(INPUT!$V$131:$V$139,MATCH('SCHEDA DI INTERVENTO'!AC104,INPUT!$U$131:$U$139,0))</f>
        <v>#N/A</v>
      </c>
      <c r="AE104" s="250" t="e">
        <f>+INDEX(INPUT!$W$131:$W$139,MATCH('SCHEDA DI INTERVENTO'!AC104,INPUT!$U$131:$U$139,0))</f>
        <v>#N/A</v>
      </c>
    </row>
    <row r="105" spans="1:31" s="122" customFormat="1" x14ac:dyDescent="0.25">
      <c r="B105" s="358" t="s">
        <v>327</v>
      </c>
      <c r="C105" s="359"/>
      <c r="D105" s="359"/>
      <c r="E105" s="359"/>
      <c r="F105" s="359"/>
      <c r="G105" s="360"/>
      <c r="H105" s="349"/>
      <c r="I105" s="347"/>
      <c r="J105" s="347"/>
      <c r="K105" s="348"/>
      <c r="L105" s="346">
        <f>+SUM(L97:O104)</f>
        <v>148320.8674248</v>
      </c>
      <c r="M105" s="347"/>
      <c r="N105" s="347"/>
      <c r="O105" s="348"/>
      <c r="Y105" s="253"/>
      <c r="AA105" s="253"/>
    </row>
    <row r="106" spans="1:31" s="121" customFormat="1" x14ac:dyDescent="0.25">
      <c r="B106" s="336" t="str">
        <f>+INPUT!B142</f>
        <v>Eventuale Compartecipazione degli Utenti</v>
      </c>
      <c r="C106" s="337"/>
      <c r="D106" s="337"/>
      <c r="E106" s="337"/>
      <c r="F106" s="337"/>
      <c r="G106" s="338"/>
      <c r="H106" s="350"/>
      <c r="I106" s="344"/>
      <c r="J106" s="344"/>
      <c r="K106" s="345"/>
      <c r="L106" s="343">
        <f>+INPUT!H142</f>
        <v>-9292.5</v>
      </c>
      <c r="M106" s="344"/>
      <c r="N106" s="344"/>
      <c r="O106" s="345"/>
      <c r="Y106" s="252"/>
      <c r="AA106" s="252"/>
    </row>
    <row r="107" spans="1:31" s="122" customFormat="1" x14ac:dyDescent="0.25">
      <c r="B107" s="336" t="s">
        <v>255</v>
      </c>
      <c r="C107" s="337"/>
      <c r="D107" s="337"/>
      <c r="E107" s="337"/>
      <c r="F107" s="337"/>
      <c r="G107" s="338"/>
      <c r="H107" s="350"/>
      <c r="I107" s="344"/>
      <c r="J107" s="344"/>
      <c r="K107" s="345"/>
      <c r="L107" s="343">
        <f>+INPUT!H141</f>
        <v>0</v>
      </c>
      <c r="M107" s="344"/>
      <c r="N107" s="344"/>
      <c r="O107" s="345"/>
      <c r="Y107" s="253"/>
      <c r="AA107" s="253"/>
    </row>
    <row r="108" spans="1:31" s="122" customFormat="1" x14ac:dyDescent="0.25">
      <c r="B108" s="358" t="s">
        <v>167</v>
      </c>
      <c r="C108" s="359"/>
      <c r="D108" s="359"/>
      <c r="E108" s="359"/>
      <c r="F108" s="359"/>
      <c r="G108" s="360"/>
      <c r="H108" s="349"/>
      <c r="I108" s="347"/>
      <c r="J108" s="347"/>
      <c r="K108" s="348"/>
      <c r="L108" s="346">
        <f>+L105+L106+L107</f>
        <v>139028.3674248</v>
      </c>
      <c r="M108" s="347"/>
      <c r="N108" s="347"/>
      <c r="O108" s="348"/>
      <c r="Y108" s="253"/>
      <c r="AA108" s="253"/>
    </row>
    <row r="110" spans="1:31" x14ac:dyDescent="0.25">
      <c r="A110" s="290" t="s">
        <v>170</v>
      </c>
      <c r="B110" s="291"/>
      <c r="C110" s="291"/>
      <c r="D110" s="291"/>
      <c r="E110" s="291"/>
      <c r="F110" s="291"/>
      <c r="G110" s="291"/>
      <c r="H110" s="291"/>
      <c r="I110" s="291"/>
      <c r="J110" s="291"/>
      <c r="K110" s="291"/>
      <c r="L110" s="291"/>
      <c r="M110" s="291"/>
      <c r="N110" s="291"/>
      <c r="O110" s="292"/>
    </row>
    <row r="111" spans="1:31" x14ac:dyDescent="0.25">
      <c r="A111" s="125"/>
      <c r="B111" s="125"/>
      <c r="C111" s="125"/>
      <c r="D111" s="125"/>
      <c r="E111" s="125"/>
      <c r="F111" s="125"/>
      <c r="G111" s="125"/>
      <c r="H111" s="125"/>
      <c r="I111" s="125"/>
      <c r="J111" s="125"/>
      <c r="K111" s="125"/>
      <c r="L111" s="354" t="s">
        <v>175</v>
      </c>
      <c r="M111" s="354"/>
      <c r="N111" s="354"/>
      <c r="O111" s="354"/>
    </row>
    <row r="112" spans="1:31" x14ac:dyDescent="0.25">
      <c r="A112" s="317" t="s">
        <v>171</v>
      </c>
      <c r="B112" s="317"/>
      <c r="C112" s="317"/>
      <c r="D112" s="317"/>
      <c r="E112" s="317"/>
      <c r="F112" s="317"/>
      <c r="G112" s="317"/>
      <c r="H112" s="317"/>
      <c r="I112" s="317"/>
      <c r="J112" s="317"/>
      <c r="K112" s="317"/>
      <c r="L112" s="355">
        <f>INPUT!D120</f>
        <v>44166</v>
      </c>
      <c r="M112" s="356"/>
      <c r="N112" s="356"/>
      <c r="O112" s="357"/>
    </row>
    <row r="113" spans="1:15" x14ac:dyDescent="0.25">
      <c r="A113" s="317" t="s">
        <v>172</v>
      </c>
      <c r="B113" s="317"/>
      <c r="C113" s="317"/>
      <c r="D113" s="317"/>
      <c r="E113" s="317"/>
      <c r="F113" s="317"/>
      <c r="G113" s="317"/>
      <c r="H113" s="317"/>
      <c r="I113" s="317"/>
      <c r="J113" s="317"/>
      <c r="K113" s="317"/>
      <c r="L113" s="355">
        <f>INPUT!D121</f>
        <v>44166</v>
      </c>
      <c r="M113" s="356"/>
      <c r="N113" s="356"/>
      <c r="O113" s="357"/>
    </row>
    <row r="114" spans="1:15" x14ac:dyDescent="0.25">
      <c r="A114" s="317" t="s">
        <v>173</v>
      </c>
      <c r="B114" s="317"/>
      <c r="C114" s="317"/>
      <c r="D114" s="317"/>
      <c r="E114" s="317"/>
      <c r="F114" s="317"/>
      <c r="G114" s="317"/>
      <c r="H114" s="317"/>
      <c r="I114" s="317"/>
      <c r="J114" s="317"/>
      <c r="K114" s="317"/>
      <c r="L114" s="355">
        <f>INPUT!D122</f>
        <v>44197</v>
      </c>
      <c r="M114" s="356"/>
      <c r="N114" s="356"/>
      <c r="O114" s="357"/>
    </row>
    <row r="115" spans="1:15" x14ac:dyDescent="0.25">
      <c r="A115" s="317" t="s">
        <v>174</v>
      </c>
      <c r="B115" s="317"/>
      <c r="C115" s="317"/>
      <c r="D115" s="317"/>
      <c r="E115" s="317"/>
      <c r="F115" s="317"/>
      <c r="G115" s="317"/>
      <c r="H115" s="317"/>
      <c r="I115" s="317"/>
      <c r="J115" s="317"/>
      <c r="K115" s="317"/>
      <c r="L115" s="355">
        <f>INPUT!D123</f>
        <v>44348</v>
      </c>
      <c r="M115" s="356"/>
      <c r="N115" s="356"/>
      <c r="O115" s="357"/>
    </row>
    <row r="117" spans="1:15" x14ac:dyDescent="0.25">
      <c r="A117" s="290" t="s">
        <v>177</v>
      </c>
      <c r="B117" s="291"/>
      <c r="C117" s="291"/>
      <c r="D117" s="291"/>
      <c r="E117" s="291"/>
      <c r="F117" s="291"/>
      <c r="G117" s="291"/>
      <c r="H117" s="291"/>
      <c r="I117" s="291"/>
      <c r="J117" s="291"/>
      <c r="K117" s="291"/>
      <c r="L117" s="291"/>
      <c r="M117" s="291"/>
      <c r="N117" s="291"/>
      <c r="O117" s="292"/>
    </row>
    <row r="119" spans="1:15" x14ac:dyDescent="0.25">
      <c r="D119" s="351" t="s">
        <v>178</v>
      </c>
      <c r="E119" s="352"/>
      <c r="F119" s="353"/>
      <c r="G119" s="351" t="s">
        <v>179</v>
      </c>
      <c r="H119" s="352"/>
      <c r="I119" s="353"/>
      <c r="J119" s="351" t="s">
        <v>180</v>
      </c>
      <c r="K119" s="352"/>
      <c r="L119" s="353"/>
      <c r="M119" s="351" t="s">
        <v>181</v>
      </c>
      <c r="N119" s="352"/>
      <c r="O119" s="353"/>
    </row>
    <row r="120" spans="1:15" x14ac:dyDescent="0.25">
      <c r="D120" s="325">
        <f>INPUT!D103</f>
        <v>0</v>
      </c>
      <c r="E120" s="326"/>
      <c r="F120" s="327"/>
      <c r="G120" s="325">
        <f>+INPUT!E103</f>
        <v>0</v>
      </c>
      <c r="H120" s="326"/>
      <c r="I120" s="327"/>
      <c r="J120" s="325">
        <f>+INPUT!F103+INPUT!G103</f>
        <v>0</v>
      </c>
      <c r="K120" s="326"/>
      <c r="L120" s="327"/>
      <c r="M120" s="325">
        <f>+INPUT!H103</f>
        <v>148320.8674248</v>
      </c>
      <c r="N120" s="326"/>
      <c r="O120" s="327"/>
    </row>
    <row r="122" spans="1:15" x14ac:dyDescent="0.25">
      <c r="A122" s="290" t="s">
        <v>183</v>
      </c>
      <c r="B122" s="291"/>
      <c r="C122" s="291"/>
      <c r="D122" s="291"/>
      <c r="E122" s="291"/>
      <c r="F122" s="291"/>
      <c r="G122" s="291"/>
      <c r="H122" s="291"/>
      <c r="I122" s="291"/>
      <c r="J122" s="291"/>
      <c r="K122" s="291"/>
      <c r="L122" s="291"/>
      <c r="M122" s="291"/>
      <c r="N122" s="291"/>
      <c r="O122" s="292"/>
    </row>
    <row r="123" spans="1:15" x14ac:dyDescent="0.25">
      <c r="D123" s="351" t="s">
        <v>178</v>
      </c>
      <c r="E123" s="352"/>
      <c r="F123" s="353"/>
      <c r="G123" s="351" t="s">
        <v>179</v>
      </c>
      <c r="H123" s="352"/>
      <c r="I123" s="353"/>
      <c r="J123" s="351" t="s">
        <v>180</v>
      </c>
      <c r="K123" s="352"/>
      <c r="L123" s="353"/>
      <c r="M123" s="351" t="s">
        <v>181</v>
      </c>
      <c r="N123" s="352"/>
      <c r="O123" s="353"/>
    </row>
    <row r="124" spans="1:15" x14ac:dyDescent="0.25">
      <c r="D124" s="325">
        <f>+INPUT!D115</f>
        <v>0</v>
      </c>
      <c r="E124" s="326"/>
      <c r="F124" s="327"/>
      <c r="G124" s="325">
        <f>+INPUT!E115</f>
        <v>0</v>
      </c>
      <c r="H124" s="326"/>
      <c r="I124" s="327"/>
      <c r="J124" s="325">
        <f>+INPUT!F115+INPUT!G115</f>
        <v>0</v>
      </c>
      <c r="K124" s="326"/>
      <c r="L124" s="327"/>
      <c r="M124" s="325">
        <f>+INPUT!H115</f>
        <v>139028.3674248</v>
      </c>
      <c r="N124" s="326"/>
      <c r="O124" s="327"/>
    </row>
  </sheetData>
  <sheetProtection password="AF2E" sheet="1" formatRows="0"/>
  <mergeCells count="441">
    <mergeCell ref="P57:Q57"/>
    <mergeCell ref="P73:Q73"/>
    <mergeCell ref="N74:O74"/>
    <mergeCell ref="P74:Q74"/>
    <mergeCell ref="N68:O68"/>
    <mergeCell ref="P68:Q68"/>
    <mergeCell ref="N79:O79"/>
    <mergeCell ref="P79:Q79"/>
    <mergeCell ref="N81:O81"/>
    <mergeCell ref="P69:Q69"/>
    <mergeCell ref="N70:O70"/>
    <mergeCell ref="P70:Q70"/>
    <mergeCell ref="N72:Q72"/>
    <mergeCell ref="N75:O75"/>
    <mergeCell ref="P75:Q75"/>
    <mergeCell ref="N76:O76"/>
    <mergeCell ref="P76:Q76"/>
    <mergeCell ref="N77:O77"/>
    <mergeCell ref="N73:O73"/>
    <mergeCell ref="N69:O69"/>
    <mergeCell ref="P77:Q77"/>
    <mergeCell ref="N78:O78"/>
    <mergeCell ref="P81:Q81"/>
    <mergeCell ref="P78:Q78"/>
    <mergeCell ref="N80:O80"/>
    <mergeCell ref="P80:Q80"/>
    <mergeCell ref="B55:F55"/>
    <mergeCell ref="N66:O66"/>
    <mergeCell ref="P66:Q66"/>
    <mergeCell ref="N67:O67"/>
    <mergeCell ref="P67:Q67"/>
    <mergeCell ref="N53:O53"/>
    <mergeCell ref="P53:Q53"/>
    <mergeCell ref="N54:O54"/>
    <mergeCell ref="N64:O64"/>
    <mergeCell ref="P64:Q64"/>
    <mergeCell ref="N65:O65"/>
    <mergeCell ref="P65:Q65"/>
    <mergeCell ref="N58:O58"/>
    <mergeCell ref="P58:Q58"/>
    <mergeCell ref="N63:O63"/>
    <mergeCell ref="P59:Q59"/>
    <mergeCell ref="N61:Q61"/>
    <mergeCell ref="P63:Q63"/>
    <mergeCell ref="N62:O62"/>
    <mergeCell ref="P62:Q62"/>
    <mergeCell ref="N59:O59"/>
    <mergeCell ref="N56:O56"/>
    <mergeCell ref="P56:Q56"/>
    <mergeCell ref="N57:O57"/>
    <mergeCell ref="B80:F80"/>
    <mergeCell ref="B84:F84"/>
    <mergeCell ref="N55:O55"/>
    <mergeCell ref="P55:Q55"/>
    <mergeCell ref="P54:Q54"/>
    <mergeCell ref="B65:F65"/>
    <mergeCell ref="I57:J57"/>
    <mergeCell ref="I63:J63"/>
    <mergeCell ref="K64:L64"/>
    <mergeCell ref="I64:J64"/>
    <mergeCell ref="K56:L56"/>
    <mergeCell ref="I56:J56"/>
    <mergeCell ref="K65:L65"/>
    <mergeCell ref="I55:J55"/>
    <mergeCell ref="K57:L57"/>
    <mergeCell ref="K55:L55"/>
    <mergeCell ref="K59:L59"/>
    <mergeCell ref="G57:H57"/>
    <mergeCell ref="G56:H56"/>
    <mergeCell ref="G61:L61"/>
    <mergeCell ref="K58:L58"/>
    <mergeCell ref="B56:F56"/>
    <mergeCell ref="B57:F57"/>
    <mergeCell ref="B64:F64"/>
    <mergeCell ref="K81:L81"/>
    <mergeCell ref="I78:J78"/>
    <mergeCell ref="K85:L85"/>
    <mergeCell ref="I80:J80"/>
    <mergeCell ref="G83:L83"/>
    <mergeCell ref="G80:H80"/>
    <mergeCell ref="N87:O87"/>
    <mergeCell ref="P87:Q87"/>
    <mergeCell ref="N85:O85"/>
    <mergeCell ref="P85:Q85"/>
    <mergeCell ref="P86:Q86"/>
    <mergeCell ref="N84:O84"/>
    <mergeCell ref="P84:Q84"/>
    <mergeCell ref="N83:Q83"/>
    <mergeCell ref="K84:L84"/>
    <mergeCell ref="I84:J84"/>
    <mergeCell ref="K80:L80"/>
    <mergeCell ref="K79:L79"/>
    <mergeCell ref="G86:H86"/>
    <mergeCell ref="I85:J85"/>
    <mergeCell ref="G85:H85"/>
    <mergeCell ref="G81:H81"/>
    <mergeCell ref="I81:J81"/>
    <mergeCell ref="G79:H79"/>
    <mergeCell ref="I76:J76"/>
    <mergeCell ref="K73:L73"/>
    <mergeCell ref="I73:J73"/>
    <mergeCell ref="G72:L72"/>
    <mergeCell ref="G78:H78"/>
    <mergeCell ref="I77:J77"/>
    <mergeCell ref="G73:H73"/>
    <mergeCell ref="B77:F77"/>
    <mergeCell ref="G77:H77"/>
    <mergeCell ref="K74:L74"/>
    <mergeCell ref="K77:L77"/>
    <mergeCell ref="K78:L78"/>
    <mergeCell ref="B59:F59"/>
    <mergeCell ref="G69:H69"/>
    <mergeCell ref="B76:F76"/>
    <mergeCell ref="B68:F68"/>
    <mergeCell ref="B69:F69"/>
    <mergeCell ref="B62:F62"/>
    <mergeCell ref="B63:F63"/>
    <mergeCell ref="K75:L75"/>
    <mergeCell ref="I75:J75"/>
    <mergeCell ref="G74:H74"/>
    <mergeCell ref="I70:J70"/>
    <mergeCell ref="G59:H59"/>
    <mergeCell ref="I59:J59"/>
    <mergeCell ref="B66:F66"/>
    <mergeCell ref="B67:F67"/>
    <mergeCell ref="K69:L69"/>
    <mergeCell ref="I69:J69"/>
    <mergeCell ref="K66:L66"/>
    <mergeCell ref="G76:H76"/>
    <mergeCell ref="G75:H75"/>
    <mergeCell ref="B74:F74"/>
    <mergeCell ref="B75:F75"/>
    <mergeCell ref="B73:F73"/>
    <mergeCell ref="K70:L70"/>
    <mergeCell ref="G124:I124"/>
    <mergeCell ref="A117:O117"/>
    <mergeCell ref="L106:O106"/>
    <mergeCell ref="B106:G106"/>
    <mergeCell ref="G120:I120"/>
    <mergeCell ref="J120:L120"/>
    <mergeCell ref="D119:F119"/>
    <mergeCell ref="B43:F43"/>
    <mergeCell ref="B47:F47"/>
    <mergeCell ref="B51:F51"/>
    <mergeCell ref="B52:F52"/>
    <mergeCell ref="I52:J52"/>
    <mergeCell ref="K53:L53"/>
    <mergeCell ref="I53:J53"/>
    <mergeCell ref="G53:H53"/>
    <mergeCell ref="G43:H43"/>
    <mergeCell ref="G44:H44"/>
    <mergeCell ref="G45:H45"/>
    <mergeCell ref="K52:L52"/>
    <mergeCell ref="G52:H52"/>
    <mergeCell ref="I68:J68"/>
    <mergeCell ref="I67:J67"/>
    <mergeCell ref="I66:J66"/>
    <mergeCell ref="K68:L68"/>
    <mergeCell ref="B103:G103"/>
    <mergeCell ref="L101:O101"/>
    <mergeCell ref="L100:O100"/>
    <mergeCell ref="B100:G100"/>
    <mergeCell ref="B102:G102"/>
    <mergeCell ref="D120:F120"/>
    <mergeCell ref="M119:O119"/>
    <mergeCell ref="B105:G105"/>
    <mergeCell ref="B78:F78"/>
    <mergeCell ref="B85:F85"/>
    <mergeCell ref="B88:F88"/>
    <mergeCell ref="B89:F89"/>
    <mergeCell ref="B90:F90"/>
    <mergeCell ref="G88:H88"/>
    <mergeCell ref="B79:F79"/>
    <mergeCell ref="B86:F86"/>
    <mergeCell ref="B87:F87"/>
    <mergeCell ref="B81:F81"/>
    <mergeCell ref="I89:J89"/>
    <mergeCell ref="G89:H89"/>
    <mergeCell ref="I79:J79"/>
    <mergeCell ref="I90:J90"/>
    <mergeCell ref="G90:H90"/>
    <mergeCell ref="B104:G104"/>
    <mergeCell ref="D124:F124"/>
    <mergeCell ref="A112:K112"/>
    <mergeCell ref="M120:O120"/>
    <mergeCell ref="K54:L54"/>
    <mergeCell ref="I54:J54"/>
    <mergeCell ref="G54:H54"/>
    <mergeCell ref="G55:H55"/>
    <mergeCell ref="K63:L63"/>
    <mergeCell ref="G62:H62"/>
    <mergeCell ref="I65:J65"/>
    <mergeCell ref="G58:H58"/>
    <mergeCell ref="G63:H63"/>
    <mergeCell ref="G64:H64"/>
    <mergeCell ref="I62:J62"/>
    <mergeCell ref="K62:L62"/>
    <mergeCell ref="I58:J58"/>
    <mergeCell ref="M124:O124"/>
    <mergeCell ref="A110:O110"/>
    <mergeCell ref="J124:L124"/>
    <mergeCell ref="K89:L89"/>
    <mergeCell ref="K87:L87"/>
    <mergeCell ref="G87:H87"/>
    <mergeCell ref="I74:J74"/>
    <mergeCell ref="K76:L76"/>
    <mergeCell ref="J123:L123"/>
    <mergeCell ref="M123:O123"/>
    <mergeCell ref="A113:K113"/>
    <mergeCell ref="A114:K114"/>
    <mergeCell ref="A115:K115"/>
    <mergeCell ref="L111:O111"/>
    <mergeCell ref="L114:O114"/>
    <mergeCell ref="A122:O122"/>
    <mergeCell ref="H106:K106"/>
    <mergeCell ref="G123:I123"/>
    <mergeCell ref="L113:O113"/>
    <mergeCell ref="L112:O112"/>
    <mergeCell ref="B107:G107"/>
    <mergeCell ref="G119:I119"/>
    <mergeCell ref="D123:F123"/>
    <mergeCell ref="L115:O115"/>
    <mergeCell ref="J119:L119"/>
    <mergeCell ref="B108:G108"/>
    <mergeCell ref="H96:K96"/>
    <mergeCell ref="L105:O105"/>
    <mergeCell ref="H108:K108"/>
    <mergeCell ref="L108:O108"/>
    <mergeCell ref="H102:K102"/>
    <mergeCell ref="L102:O102"/>
    <mergeCell ref="H107:K107"/>
    <mergeCell ref="L107:O107"/>
    <mergeCell ref="H103:K103"/>
    <mergeCell ref="H105:K105"/>
    <mergeCell ref="H104:K104"/>
    <mergeCell ref="L104:O104"/>
    <mergeCell ref="H98:K98"/>
    <mergeCell ref="L98:O98"/>
    <mergeCell ref="H99:K99"/>
    <mergeCell ref="L103:O103"/>
    <mergeCell ref="A95:O95"/>
    <mergeCell ref="B101:G101"/>
    <mergeCell ref="B58:F58"/>
    <mergeCell ref="A96:F96"/>
    <mergeCell ref="B99:G99"/>
    <mergeCell ref="B98:G98"/>
    <mergeCell ref="B97:G97"/>
    <mergeCell ref="G84:H84"/>
    <mergeCell ref="L96:O96"/>
    <mergeCell ref="H97:K97"/>
    <mergeCell ref="L97:O97"/>
    <mergeCell ref="L99:O99"/>
    <mergeCell ref="G65:H65"/>
    <mergeCell ref="G66:H66"/>
    <mergeCell ref="G68:H68"/>
    <mergeCell ref="K67:L67"/>
    <mergeCell ref="G67:H67"/>
    <mergeCell ref="G91:H91"/>
    <mergeCell ref="K90:L90"/>
    <mergeCell ref="I87:J87"/>
    <mergeCell ref="H101:K101"/>
    <mergeCell ref="H100:K100"/>
    <mergeCell ref="B70:F70"/>
    <mergeCell ref="G70:H70"/>
    <mergeCell ref="B11:D11"/>
    <mergeCell ref="B12:J12"/>
    <mergeCell ref="K16:O16"/>
    <mergeCell ref="B14:J14"/>
    <mergeCell ref="K14:O14"/>
    <mergeCell ref="K15:O15"/>
    <mergeCell ref="B15:J15"/>
    <mergeCell ref="B17:J17"/>
    <mergeCell ref="I31:J31"/>
    <mergeCell ref="E11:O11"/>
    <mergeCell ref="I35:J35"/>
    <mergeCell ref="I36:J36"/>
    <mergeCell ref="M34:N34"/>
    <mergeCell ref="M35:N35"/>
    <mergeCell ref="M36:N36"/>
    <mergeCell ref="K34:L34"/>
    <mergeCell ref="B16:J16"/>
    <mergeCell ref="B35:H35"/>
    <mergeCell ref="B41:F41"/>
    <mergeCell ref="K35:L35"/>
    <mergeCell ref="E21:O21"/>
    <mergeCell ref="M37:N37"/>
    <mergeCell ref="E29:O29"/>
    <mergeCell ref="I34:J34"/>
    <mergeCell ref="B34:H34"/>
    <mergeCell ref="B36:H36"/>
    <mergeCell ref="K36:L36"/>
    <mergeCell ref="G41:H41"/>
    <mergeCell ref="I37:J37"/>
    <mergeCell ref="I38:J38"/>
    <mergeCell ref="B37:H37"/>
    <mergeCell ref="K37:L37"/>
    <mergeCell ref="A1:O1"/>
    <mergeCell ref="A5:O5"/>
    <mergeCell ref="E6:O6"/>
    <mergeCell ref="E7:O7"/>
    <mergeCell ref="B6:D6"/>
    <mergeCell ref="A2:O2"/>
    <mergeCell ref="A3:O3"/>
    <mergeCell ref="A4:O4"/>
    <mergeCell ref="B32:H32"/>
    <mergeCell ref="E23:O23"/>
    <mergeCell ref="K17:O17"/>
    <mergeCell ref="I32:J32"/>
    <mergeCell ref="E25:O25"/>
    <mergeCell ref="E27:O27"/>
    <mergeCell ref="A19:O19"/>
    <mergeCell ref="E20:O20"/>
    <mergeCell ref="B7:D7"/>
    <mergeCell ref="B8:D8"/>
    <mergeCell ref="B9:D9"/>
    <mergeCell ref="E8:O8"/>
    <mergeCell ref="K12:O12"/>
    <mergeCell ref="E10:O10"/>
    <mergeCell ref="E9:O9"/>
    <mergeCell ref="B10:D10"/>
    <mergeCell ref="B45:F45"/>
    <mergeCell ref="B46:F46"/>
    <mergeCell ref="N51:O51"/>
    <mergeCell ref="M38:N38"/>
    <mergeCell ref="K38:L38"/>
    <mergeCell ref="G51:H51"/>
    <mergeCell ref="K51:L51"/>
    <mergeCell ref="N50:Q50"/>
    <mergeCell ref="B38:H38"/>
    <mergeCell ref="G42:H42"/>
    <mergeCell ref="B44:F44"/>
    <mergeCell ref="G46:H46"/>
    <mergeCell ref="G47:H47"/>
    <mergeCell ref="G48:H48"/>
    <mergeCell ref="B42:F42"/>
    <mergeCell ref="S52:T52"/>
    <mergeCell ref="U52:V52"/>
    <mergeCell ref="S53:T53"/>
    <mergeCell ref="U53:V53"/>
    <mergeCell ref="B53:F53"/>
    <mergeCell ref="N52:O52"/>
    <mergeCell ref="B48:F48"/>
    <mergeCell ref="P52:Q52"/>
    <mergeCell ref="S54:T54"/>
    <mergeCell ref="U54:V54"/>
    <mergeCell ref="S51:T51"/>
    <mergeCell ref="U51:V51"/>
    <mergeCell ref="P51:Q51"/>
    <mergeCell ref="S50:V50"/>
    <mergeCell ref="G50:L50"/>
    <mergeCell ref="I51:J51"/>
    <mergeCell ref="B54:F54"/>
    <mergeCell ref="S55:T55"/>
    <mergeCell ref="U55:V55"/>
    <mergeCell ref="S56:T56"/>
    <mergeCell ref="U56:V56"/>
    <mergeCell ref="S57:T57"/>
    <mergeCell ref="U57:V57"/>
    <mergeCell ref="S58:T58"/>
    <mergeCell ref="U58:V58"/>
    <mergeCell ref="S59:T59"/>
    <mergeCell ref="U59:V59"/>
    <mergeCell ref="S62:T62"/>
    <mergeCell ref="U62:V62"/>
    <mergeCell ref="S63:T63"/>
    <mergeCell ref="U63:V63"/>
    <mergeCell ref="S61:V61"/>
    <mergeCell ref="S64:T64"/>
    <mergeCell ref="U64:V64"/>
    <mergeCell ref="S65:T65"/>
    <mergeCell ref="U65:V65"/>
    <mergeCell ref="S66:T66"/>
    <mergeCell ref="U66:V66"/>
    <mergeCell ref="S67:T67"/>
    <mergeCell ref="U67:V67"/>
    <mergeCell ref="S73:T73"/>
    <mergeCell ref="U73:V73"/>
    <mergeCell ref="S68:T68"/>
    <mergeCell ref="U68:V68"/>
    <mergeCell ref="S69:T69"/>
    <mergeCell ref="U69:V69"/>
    <mergeCell ref="S70:T70"/>
    <mergeCell ref="U70:V70"/>
    <mergeCell ref="S72:V72"/>
    <mergeCell ref="S74:T74"/>
    <mergeCell ref="U74:V74"/>
    <mergeCell ref="S75:T75"/>
    <mergeCell ref="U75:V75"/>
    <mergeCell ref="S76:T76"/>
    <mergeCell ref="U76:V76"/>
    <mergeCell ref="U80:V80"/>
    <mergeCell ref="S81:T81"/>
    <mergeCell ref="U81:V81"/>
    <mergeCell ref="S84:T84"/>
    <mergeCell ref="U84:V84"/>
    <mergeCell ref="S77:T77"/>
    <mergeCell ref="U77:V77"/>
    <mergeCell ref="S78:T78"/>
    <mergeCell ref="U78:V78"/>
    <mergeCell ref="S79:T79"/>
    <mergeCell ref="S85:T85"/>
    <mergeCell ref="U85:V85"/>
    <mergeCell ref="S80:T80"/>
    <mergeCell ref="U79:V79"/>
    <mergeCell ref="S83:V83"/>
    <mergeCell ref="S86:T86"/>
    <mergeCell ref="S90:T90"/>
    <mergeCell ref="K88:L88"/>
    <mergeCell ref="I88:J88"/>
    <mergeCell ref="N90:O90"/>
    <mergeCell ref="U86:V86"/>
    <mergeCell ref="S87:T87"/>
    <mergeCell ref="U87:V87"/>
    <mergeCell ref="S88:T88"/>
    <mergeCell ref="U88:V88"/>
    <mergeCell ref="S89:T89"/>
    <mergeCell ref="U89:V89"/>
    <mergeCell ref="U90:V90"/>
    <mergeCell ref="K86:L86"/>
    <mergeCell ref="I86:J86"/>
    <mergeCell ref="N86:O86"/>
    <mergeCell ref="P90:Q90"/>
    <mergeCell ref="N89:O89"/>
    <mergeCell ref="P89:Q89"/>
    <mergeCell ref="N88:O88"/>
    <mergeCell ref="P88:Q88"/>
    <mergeCell ref="S91:T91"/>
    <mergeCell ref="U91:V91"/>
    <mergeCell ref="N92:O92"/>
    <mergeCell ref="P92:Q92"/>
    <mergeCell ref="B92:F92"/>
    <mergeCell ref="G92:H92"/>
    <mergeCell ref="I92:J92"/>
    <mergeCell ref="K92:L92"/>
    <mergeCell ref="S92:T92"/>
    <mergeCell ref="U92:V92"/>
    <mergeCell ref="B91:F91"/>
    <mergeCell ref="K91:L91"/>
    <mergeCell ref="I91:J91"/>
    <mergeCell ref="N91:O91"/>
    <mergeCell ref="P91:Q91"/>
  </mergeCells>
  <phoneticPr fontId="3" type="noConversion"/>
  <conditionalFormatting sqref="H104:K104">
    <cfRule type="expression" dxfId="3" priority="3" stopIfTrue="1">
      <formula>AD104="percentuale"</formula>
    </cfRule>
  </conditionalFormatting>
  <conditionalFormatting sqref="H103:K103">
    <cfRule type="expression" dxfId="2" priority="2" stopIfTrue="1">
      <formula>AD103="percentuale"</formula>
    </cfRule>
  </conditionalFormatting>
  <conditionalFormatting sqref="H97:K102">
    <cfRule type="expression" dxfId="1" priority="1" stopIfTrue="1">
      <formula>AD97="percentuale"</formula>
    </cfRule>
  </conditionalFormatting>
  <pageMargins left="0.70866141732283472" right="0.70866141732283472" top="1.1811023622047245" bottom="0.74803149606299213" header="0" footer="0.31496062992125984"/>
  <pageSetup paperSize="9" scale="53" orientation="portrait"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W3"/>
  <sheetViews>
    <sheetView zoomScale="80" zoomScaleNormal="80" workbookViewId="0">
      <selection activeCell="R3" sqref="R2:S3"/>
    </sheetView>
  </sheetViews>
  <sheetFormatPr defaultColWidth="9.28515625" defaultRowHeight="15" x14ac:dyDescent="0.25"/>
  <sheetData>
    <row r="1" spans="1:23" x14ac:dyDescent="0.25">
      <c r="D1" s="362" t="s">
        <v>292</v>
      </c>
      <c r="E1" s="364"/>
      <c r="F1" s="364"/>
      <c r="G1" s="363"/>
      <c r="H1" s="362" t="s">
        <v>298</v>
      </c>
      <c r="I1" s="364"/>
      <c r="J1" s="364"/>
      <c r="K1" s="363"/>
      <c r="L1" s="362" t="s">
        <v>293</v>
      </c>
      <c r="M1" s="364"/>
      <c r="N1" s="364"/>
      <c r="O1" s="363"/>
      <c r="P1" s="362" t="s">
        <v>299</v>
      </c>
      <c r="Q1" s="364"/>
      <c r="R1" s="364"/>
      <c r="S1" s="363"/>
      <c r="T1" s="362" t="s">
        <v>312</v>
      </c>
      <c r="U1" s="363"/>
      <c r="V1" s="362" t="s">
        <v>313</v>
      </c>
      <c r="W1" s="363"/>
    </row>
    <row r="2" spans="1:23" x14ac:dyDescent="0.25">
      <c r="A2" s="180" t="s">
        <v>288</v>
      </c>
      <c r="B2" s="180" t="s">
        <v>289</v>
      </c>
      <c r="C2" s="181" t="s">
        <v>290</v>
      </c>
      <c r="D2" s="182" t="s">
        <v>294</v>
      </c>
      <c r="E2" s="180" t="s">
        <v>295</v>
      </c>
      <c r="F2" s="180" t="s">
        <v>296</v>
      </c>
      <c r="G2" s="183" t="s">
        <v>297</v>
      </c>
      <c r="H2" s="182" t="s">
        <v>300</v>
      </c>
      <c r="I2" s="180" t="s">
        <v>301</v>
      </c>
      <c r="J2" s="180" t="s">
        <v>302</v>
      </c>
      <c r="K2" s="183" t="s">
        <v>303</v>
      </c>
      <c r="L2" s="182" t="s">
        <v>308</v>
      </c>
      <c r="M2" s="180" t="s">
        <v>309</v>
      </c>
      <c r="N2" s="180" t="s">
        <v>310</v>
      </c>
      <c r="O2" s="183" t="s">
        <v>311</v>
      </c>
      <c r="P2" s="182" t="s">
        <v>304</v>
      </c>
      <c r="Q2" s="180" t="s">
        <v>305</v>
      </c>
      <c r="R2" s="180" t="s">
        <v>306</v>
      </c>
      <c r="S2" s="183" t="s">
        <v>307</v>
      </c>
      <c r="T2" s="182"/>
      <c r="U2" s="183" t="s">
        <v>314</v>
      </c>
      <c r="V2" s="182">
        <v>2015</v>
      </c>
      <c r="W2" s="183">
        <v>2016</v>
      </c>
    </row>
    <row r="3" spans="1:23" ht="15.75" thickBot="1" x14ac:dyDescent="0.3">
      <c r="A3" s="219">
        <v>1</v>
      </c>
      <c r="B3" s="219" t="str">
        <f>+'SCHEDA DI INTERVENTO'!E6</f>
        <v xml:space="preserve">sostegno alla gestione del micro nido a titolarità pubblica </v>
      </c>
      <c r="C3" s="220" t="str">
        <f>+'SCHEDA DI INTERVENTO'!A3</f>
        <v>Nido / Micro-nido</v>
      </c>
      <c r="D3" s="221">
        <f t="array" ref="D3">+SUMPRODUCT('SCHEDA DI INTERVENTO'!G52:H58,IF('SCHEDA DI INTERVENTO'!N52:O58&gt;0,1,0))</f>
        <v>0</v>
      </c>
      <c r="E3" s="222">
        <f t="array" ref="E3">+SUMPRODUCT('SCHEDA DI INTERVENTO'!G63:H69,IF('SCHEDA DI INTERVENTO'!N63:O69&gt;0,1,0))</f>
        <v>0</v>
      </c>
      <c r="F3" s="222">
        <f t="array" ref="F3">+SUMPRODUCT('SCHEDA DI INTERVENTO'!G85:H91,IF('SCHEDA DI INTERVENTO'!N85:O91&gt;0,1,0))</f>
        <v>0</v>
      </c>
      <c r="G3" s="223">
        <f t="array" ref="G3">+SUMPRODUCT('SCHEDA DI INTERVENTO'!G74:H80,IF('SCHEDA DI INTERVENTO'!N74:O80&gt;0,1,0))</f>
        <v>0</v>
      </c>
      <c r="H3" s="221">
        <f t="array" ref="H3">+SUMPRODUCT('SCHEDA DI INTERVENTO'!G52:H58,IF('SCHEDA DI INTERVENTO'!P52:Q58&gt;0,1,0))</f>
        <v>63</v>
      </c>
      <c r="I3" s="222">
        <f t="array" ref="I3">+SUMPRODUCT('SCHEDA DI INTERVENTO'!G63:H69,IF('SCHEDA DI INTERVENTO'!P63:Q69&gt;0,1,0))</f>
        <v>56</v>
      </c>
      <c r="J3" s="222">
        <f t="array" ref="J3">+SUMPRODUCT('SCHEDA DI INTERVENTO'!G85:H91,IF('SCHEDA DI INTERVENTO'!P85:Q91&gt;0,1,0))</f>
        <v>0</v>
      </c>
      <c r="K3" s="223">
        <f t="array" ref="K3">+SUMPRODUCT('SCHEDA DI INTERVENTO'!G74:H80,IF('SCHEDA DI INTERVENTO'!P74:Q80&gt;0,1,0))</f>
        <v>0</v>
      </c>
      <c r="L3" s="224">
        <f>+'SCHEDA DI INTERVENTO'!S59</f>
        <v>0</v>
      </c>
      <c r="M3" s="225">
        <f>+'SCHEDA DI INTERVENTO'!S70</f>
        <v>0</v>
      </c>
      <c r="N3" s="225">
        <f>+'SCHEDA DI INTERVENTO'!S92</f>
        <v>0</v>
      </c>
      <c r="O3" s="226">
        <f>+'SCHEDA DI INTERVENTO'!S81</f>
        <v>0</v>
      </c>
      <c r="P3" s="224">
        <f>+'SCHEDA DI INTERVENTO'!U59</f>
        <v>26331.3413272</v>
      </c>
      <c r="Q3" s="225">
        <f>+'SCHEDA DI INTERVENTO'!U70</f>
        <v>112697.02609760001</v>
      </c>
      <c r="R3" s="225">
        <f>+'SCHEDA DI INTERVENTO'!U92</f>
        <v>0</v>
      </c>
      <c r="S3" s="226">
        <f>+'SCHEDA DI INTERVENTO'!U81</f>
        <v>0</v>
      </c>
      <c r="T3" s="221"/>
      <c r="U3" s="223"/>
      <c r="V3" s="221"/>
      <c r="W3" s="223"/>
    </row>
  </sheetData>
  <sheetProtection password="AF2E" sheet="1"/>
  <mergeCells count="6">
    <mergeCell ref="V1:W1"/>
    <mergeCell ref="D1:G1"/>
    <mergeCell ref="H1:K1"/>
    <mergeCell ref="L1:O1"/>
    <mergeCell ref="P1:S1"/>
    <mergeCell ref="T1:U1"/>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L24"/>
  <sheetViews>
    <sheetView workbookViewId="0">
      <selection activeCell="B2" sqref="B2:B18"/>
    </sheetView>
  </sheetViews>
  <sheetFormatPr defaultRowHeight="15" x14ac:dyDescent="0.25"/>
  <cols>
    <col min="1" max="1" width="18.5703125" bestFit="1" customWidth="1"/>
    <col min="6" max="6" width="16.42578125" bestFit="1" customWidth="1"/>
    <col min="7" max="7" width="14.42578125" bestFit="1" customWidth="1"/>
    <col min="8" max="8" width="19" bestFit="1" customWidth="1"/>
  </cols>
  <sheetData>
    <row r="1" spans="1:12" x14ac:dyDescent="0.25">
      <c r="A1" t="s">
        <v>26</v>
      </c>
      <c r="B1" t="s">
        <v>17</v>
      </c>
      <c r="F1" t="s">
        <v>27</v>
      </c>
      <c r="G1" t="s">
        <v>118</v>
      </c>
      <c r="H1" t="s">
        <v>45</v>
      </c>
      <c r="K1" s="107" t="s">
        <v>138</v>
      </c>
      <c r="L1" s="108"/>
    </row>
    <row r="2" spans="1:12" x14ac:dyDescent="0.25">
      <c r="A2" t="s">
        <v>4</v>
      </c>
      <c r="B2" s="1">
        <f t="array" ref="B2:B18">+TRANSPOSE(ROUND('CCNL cooperative'!B39:R39,2))</f>
        <v>14.7</v>
      </c>
      <c r="D2" t="s">
        <v>4</v>
      </c>
      <c r="F2" t="s">
        <v>28</v>
      </c>
      <c r="G2" s="1">
        <f>+'CCNL EELL'!J6</f>
        <v>23.9</v>
      </c>
      <c r="H2" s="1">
        <f>+'CCNL EELL'!K6</f>
        <v>23.56</v>
      </c>
      <c r="K2" s="109" t="str">
        <f>+IF(INPUT!$C$26=INPUT!$C$194,'CCNL-appoggio'!A2,IF(INPUT!$C$26=INPUT!$C$195,'CCNL-appoggio'!F2,'CCNL-appoggio'!F2))</f>
        <v>A1</v>
      </c>
      <c r="L2" s="110">
        <f>+IF(INPUT!$C$26=INPUT!$C$194,'CCNL-appoggio'!B2,IF(INPUT!$C$26=INPUT!$C$195,'CCNL-appoggio'!G2,'CCNL-appoggio'!H2))</f>
        <v>14.7</v>
      </c>
    </row>
    <row r="3" spans="1:12" x14ac:dyDescent="0.25">
      <c r="A3" t="s">
        <v>5</v>
      </c>
      <c r="B3" s="1">
        <v>14.9</v>
      </c>
      <c r="D3" t="s">
        <v>5</v>
      </c>
      <c r="F3" t="s">
        <v>29</v>
      </c>
      <c r="G3" s="1">
        <f>+'CCNL EELL'!J7</f>
        <v>22.35</v>
      </c>
      <c r="H3" s="1">
        <f>+'CCNL EELL'!K7</f>
        <v>22.04</v>
      </c>
      <c r="K3" s="109" t="str">
        <f>+IF(INPUT!$C$26=INPUT!$C$194,'CCNL-appoggio'!A3,IF(INPUT!$C$26=INPUT!$C$195,'CCNL-appoggio'!F3,'CCNL-appoggio'!F3))</f>
        <v>A2</v>
      </c>
      <c r="L3" s="110">
        <f>+IF(INPUT!$C$26=INPUT!$C$194,'CCNL-appoggio'!B3,IF(INPUT!$C$26=INPUT!$C$195,'CCNL-appoggio'!G3,'CCNL-appoggio'!H3))</f>
        <v>14.9</v>
      </c>
    </row>
    <row r="4" spans="1:12" x14ac:dyDescent="0.25">
      <c r="A4" t="s">
        <v>3</v>
      </c>
      <c r="B4" s="1">
        <v>15.67</v>
      </c>
      <c r="D4" t="s">
        <v>3</v>
      </c>
      <c r="F4" t="s">
        <v>30</v>
      </c>
      <c r="G4" s="1">
        <f>+'CCNL EELL'!J8</f>
        <v>21.4</v>
      </c>
      <c r="H4" s="1">
        <f>+'CCNL EELL'!K8</f>
        <v>21.09</v>
      </c>
      <c r="K4" s="109" t="str">
        <f>+IF(INPUT!$C$26=INPUT!$C$194,'CCNL-appoggio'!A4,IF(INPUT!$C$26=INPUT!$C$195,'CCNL-appoggio'!F4,'CCNL-appoggio'!F4))</f>
        <v>B1</v>
      </c>
      <c r="L4" s="110">
        <f>+IF(INPUT!$C$26=INPUT!$C$194,'CCNL-appoggio'!B4,IF(INPUT!$C$26=INPUT!$C$195,'CCNL-appoggio'!G4,'CCNL-appoggio'!H4))</f>
        <v>15.67</v>
      </c>
    </row>
    <row r="5" spans="1:12" x14ac:dyDescent="0.25">
      <c r="A5" t="s">
        <v>6</v>
      </c>
      <c r="B5" s="1">
        <v>16.21</v>
      </c>
      <c r="D5" t="s">
        <v>2</v>
      </c>
      <c r="F5" t="s">
        <v>31</v>
      </c>
      <c r="G5" s="1">
        <f>+'CCNL EELL'!J9</f>
        <v>20.52</v>
      </c>
      <c r="H5" s="1">
        <f>+'CCNL EELL'!K9</f>
        <v>20.23</v>
      </c>
      <c r="K5" s="109" t="str">
        <f>+IF(INPUT!$C$26=INPUT!$C$194,'CCNL-appoggio'!A5,IF(INPUT!$C$26=INPUT!$C$195,'CCNL-appoggio'!F5,'CCNL-appoggio'!F5))</f>
        <v>B1 con i.f.</v>
      </c>
      <c r="L5" s="110">
        <f>+IF(INPUT!$C$26=INPUT!$C$194,'CCNL-appoggio'!B5,IF(INPUT!$C$26=INPUT!$C$195,'CCNL-appoggio'!G5,'CCNL-appoggio'!H5))</f>
        <v>16.21</v>
      </c>
    </row>
    <row r="6" spans="1:12" x14ac:dyDescent="0.25">
      <c r="A6" t="s">
        <v>2</v>
      </c>
      <c r="B6" s="1">
        <v>16.89</v>
      </c>
      <c r="D6" t="s">
        <v>1</v>
      </c>
      <c r="F6" t="s">
        <v>0</v>
      </c>
      <c r="G6" s="1">
        <f>+'CCNL EELL'!J10</f>
        <v>18.72</v>
      </c>
      <c r="H6" s="1">
        <f>+'CCNL EELL'!K10</f>
        <v>18.46</v>
      </c>
      <c r="K6" s="109" t="str">
        <f>+IF(INPUT!$C$26=INPUT!$C$194,'CCNL-appoggio'!A6,IF(INPUT!$C$26=INPUT!$C$195,'CCNL-appoggio'!F6,'CCNL-appoggio'!F6))</f>
        <v>C1</v>
      </c>
      <c r="L6" s="110">
        <f>+IF(INPUT!$C$26=INPUT!$C$194,'CCNL-appoggio'!B6,IF(INPUT!$C$26=INPUT!$C$195,'CCNL-appoggio'!G6,'CCNL-appoggio'!H6))</f>
        <v>16.89</v>
      </c>
    </row>
    <row r="7" spans="1:12" x14ac:dyDescent="0.25">
      <c r="A7" t="s">
        <v>1</v>
      </c>
      <c r="B7" s="1">
        <v>17.41</v>
      </c>
      <c r="D7" t="s">
        <v>7</v>
      </c>
      <c r="F7" t="s">
        <v>32</v>
      </c>
      <c r="G7" s="1">
        <f>+'CCNL EELL'!J11</f>
        <v>17.850000000000001</v>
      </c>
      <c r="H7" s="1">
        <f>+'CCNL EELL'!K11</f>
        <v>17.59</v>
      </c>
      <c r="K7" s="109" t="str">
        <f>+IF(INPUT!$C$26=INPUT!$C$194,'CCNL-appoggio'!A7,IF(INPUT!$C$26=INPUT!$C$195,'CCNL-appoggio'!F7,'CCNL-appoggio'!F7))</f>
        <v>C2</v>
      </c>
      <c r="L7" s="110">
        <f>+IF(INPUT!$C$26=INPUT!$C$194,'CCNL-appoggio'!B7,IF(INPUT!$C$26=INPUT!$C$195,'CCNL-appoggio'!G7,'CCNL-appoggio'!H7))</f>
        <v>17.41</v>
      </c>
    </row>
    <row r="8" spans="1:12" x14ac:dyDescent="0.25">
      <c r="A8" t="s">
        <v>7</v>
      </c>
      <c r="B8" s="1">
        <v>17.940000000000001</v>
      </c>
      <c r="D8" t="s">
        <v>0</v>
      </c>
      <c r="F8" t="s">
        <v>33</v>
      </c>
      <c r="G8" s="1">
        <f>+'CCNL EELL'!J12</f>
        <v>18.47</v>
      </c>
      <c r="H8" s="1">
        <f>+'CCNL EELL'!K12</f>
        <v>18.2</v>
      </c>
      <c r="K8" s="109" t="str">
        <f>+IF(INPUT!$C$26=INPUT!$C$194,'CCNL-appoggio'!A8,IF(INPUT!$C$26=INPUT!$C$195,'CCNL-appoggio'!F8,'CCNL-appoggio'!F8))</f>
        <v>C3/D1</v>
      </c>
      <c r="L8" s="110">
        <f>+IF(INPUT!$C$26=INPUT!$C$194,'CCNL-appoggio'!B8,IF(INPUT!$C$26=INPUT!$C$195,'CCNL-appoggio'!G8,'CCNL-appoggio'!H8))</f>
        <v>17.940000000000001</v>
      </c>
    </row>
    <row r="9" spans="1:12" x14ac:dyDescent="0.25">
      <c r="A9" t="s">
        <v>8</v>
      </c>
      <c r="B9" s="1">
        <v>18.66</v>
      </c>
      <c r="D9" t="s">
        <v>10</v>
      </c>
      <c r="F9" t="s">
        <v>34</v>
      </c>
      <c r="G9" s="1">
        <f>+'CCNL EELL'!J13</f>
        <v>17.809999999999999</v>
      </c>
      <c r="H9" s="1">
        <f>+'CCNL EELL'!K13</f>
        <v>17.55</v>
      </c>
      <c r="K9" s="109" t="str">
        <f>+IF(INPUT!$C$26=INPUT!$C$194,'CCNL-appoggio'!A9,IF(INPUT!$C$26=INPUT!$C$195,'CCNL-appoggio'!F9,'CCNL-appoggio'!F9))</f>
        <v>C3/D1 con i.p.</v>
      </c>
      <c r="L9" s="110">
        <f>+IF(INPUT!$C$26=INPUT!$C$194,'CCNL-appoggio'!B9,IF(INPUT!$C$26=INPUT!$C$195,'CCNL-appoggio'!G9,'CCNL-appoggio'!H9))</f>
        <v>18.66</v>
      </c>
    </row>
    <row r="10" spans="1:12" x14ac:dyDescent="0.25">
      <c r="A10" t="s">
        <v>0</v>
      </c>
      <c r="B10" s="1">
        <v>18.97</v>
      </c>
      <c r="D10" t="s">
        <v>11</v>
      </c>
      <c r="F10" t="s">
        <v>35</v>
      </c>
      <c r="G10" s="1">
        <f>+'CCNL EELL'!J14</f>
        <v>17.260000000000002</v>
      </c>
      <c r="H10" s="1">
        <f>+'CCNL EELL'!K14</f>
        <v>17.02</v>
      </c>
      <c r="K10" s="109" t="str">
        <f>+IF(INPUT!$C$26=INPUT!$C$194,'CCNL-appoggio'!A10,IF(INPUT!$C$26=INPUT!$C$195,'CCNL-appoggio'!F10,'CCNL-appoggio'!F10))</f>
        <v>D2</v>
      </c>
      <c r="L10" s="110">
        <f>+IF(INPUT!$C$26=INPUT!$C$194,'CCNL-appoggio'!B10,IF(INPUT!$C$26=INPUT!$C$195,'CCNL-appoggio'!G10,'CCNL-appoggio'!H10))</f>
        <v>18.97</v>
      </c>
    </row>
    <row r="11" spans="1:12" x14ac:dyDescent="0.25">
      <c r="A11" t="s">
        <v>9</v>
      </c>
      <c r="B11" s="1">
        <v>20.79</v>
      </c>
      <c r="C11" s="34"/>
      <c r="D11" t="s">
        <v>13</v>
      </c>
      <c r="F11" t="s">
        <v>1</v>
      </c>
      <c r="G11" s="1">
        <f>+'CCNL EELL'!J15</f>
        <v>16.8</v>
      </c>
      <c r="H11" s="1">
        <f>+'CCNL EELL'!K15</f>
        <v>16.559999999999999</v>
      </c>
      <c r="K11" s="109" t="str">
        <f>+IF(INPUT!$C$26=INPUT!$C$194,'CCNL-appoggio'!A11,IF(INPUT!$C$26=INPUT!$C$195,'CCNL-appoggio'!F11,'CCNL-appoggio'!F11))</f>
        <v>D2 con i.p.</v>
      </c>
      <c r="L11" s="110">
        <f>+IF(INPUT!$C$26=INPUT!$C$194,'CCNL-appoggio'!B11,IF(INPUT!$C$26=INPUT!$C$195,'CCNL-appoggio'!G11,'CCNL-appoggio'!H11))</f>
        <v>20.79</v>
      </c>
    </row>
    <row r="12" spans="1:12" x14ac:dyDescent="0.25">
      <c r="A12" t="s">
        <v>10</v>
      </c>
      <c r="B12" s="1">
        <v>20.27</v>
      </c>
      <c r="D12" t="s">
        <v>15</v>
      </c>
      <c r="F12" t="s">
        <v>2</v>
      </c>
      <c r="G12" s="1">
        <f>+'CCNL EELL'!J16</f>
        <v>16.399999999999999</v>
      </c>
      <c r="H12" s="1">
        <f>+'CCNL EELL'!K16</f>
        <v>16.170000000000002</v>
      </c>
      <c r="K12" s="109" t="str">
        <f>+IF(INPUT!$C$26=INPUT!$C$194,'CCNL-appoggio'!A12,IF(INPUT!$C$26=INPUT!$C$195,'CCNL-appoggio'!F12,'CCNL-appoggio'!F12))</f>
        <v>D3/E1</v>
      </c>
      <c r="L12" s="110">
        <f>+IF(INPUT!$C$26=INPUT!$C$194,'CCNL-appoggio'!B12,IF(INPUT!$C$26=INPUT!$C$195,'CCNL-appoggio'!G12,'CCNL-appoggio'!H12))</f>
        <v>20.27</v>
      </c>
    </row>
    <row r="13" spans="1:12" x14ac:dyDescent="0.25">
      <c r="A13" t="s">
        <v>11</v>
      </c>
      <c r="B13" s="1">
        <v>22.87</v>
      </c>
      <c r="F13" t="s">
        <v>36</v>
      </c>
      <c r="G13" s="1">
        <f>+'CCNL EELL'!J17</f>
        <v>16.760000000000002</v>
      </c>
      <c r="H13" s="1">
        <f>+'CCNL EELL'!K17</f>
        <v>16.52</v>
      </c>
      <c r="K13" s="109" t="str">
        <f>+IF(INPUT!$C$26=INPUT!$C$194,'CCNL-appoggio'!A13,IF(INPUT!$C$26=INPUT!$C$195,'CCNL-appoggio'!F13,'CCNL-appoggio'!F13))</f>
        <v>E2</v>
      </c>
      <c r="L13" s="110">
        <f>+IF(INPUT!$C$26=INPUT!$C$194,'CCNL-appoggio'!B13,IF(INPUT!$C$26=INPUT!$C$195,'CCNL-appoggio'!G13,'CCNL-appoggio'!H13))</f>
        <v>22.87</v>
      </c>
    </row>
    <row r="14" spans="1:12" x14ac:dyDescent="0.25">
      <c r="A14" t="s">
        <v>12</v>
      </c>
      <c r="B14" s="1">
        <v>24.99</v>
      </c>
      <c r="F14" t="s">
        <v>37</v>
      </c>
      <c r="G14" s="1">
        <f>+'CCNL EELL'!J18</f>
        <v>16.14</v>
      </c>
      <c r="H14" s="1">
        <f>+'CCNL EELL'!K18</f>
        <v>15.91</v>
      </c>
      <c r="K14" s="109" t="str">
        <f>+IF(INPUT!$C$26=INPUT!$C$194,'CCNL-appoggio'!A14,IF(INPUT!$C$26=INPUT!$C$195,'CCNL-appoggio'!F14,'CCNL-appoggio'!F14))</f>
        <v>E2 con i.p.</v>
      </c>
      <c r="L14" s="110">
        <f>+IF(INPUT!$C$26=INPUT!$C$194,'CCNL-appoggio'!B14,IF(INPUT!$C$26=INPUT!$C$195,'CCNL-appoggio'!G14,'CCNL-appoggio'!H14))</f>
        <v>24.99</v>
      </c>
    </row>
    <row r="15" spans="1:12" x14ac:dyDescent="0.25">
      <c r="A15" t="s">
        <v>13</v>
      </c>
      <c r="B15" s="1">
        <v>26.23</v>
      </c>
      <c r="F15" t="s">
        <v>38</v>
      </c>
      <c r="G15" s="1">
        <f>+'CCNL EELL'!J19</f>
        <v>15.86</v>
      </c>
      <c r="H15" s="1">
        <f>+'CCNL EELL'!K19</f>
        <v>15.63</v>
      </c>
      <c r="K15" s="109" t="str">
        <f>+IF(INPUT!$C$26=INPUT!$C$194,'CCNL-appoggio'!A15,IF(INPUT!$C$26=INPUT!$C$195,'CCNL-appoggio'!F15,'CCNL-appoggio'!F15))</f>
        <v>F1</v>
      </c>
      <c r="L15" s="110">
        <f>+IF(INPUT!$C$26=INPUT!$C$194,'CCNL-appoggio'!B15,IF(INPUT!$C$26=INPUT!$C$195,'CCNL-appoggio'!G15,'CCNL-appoggio'!H15))</f>
        <v>26.23</v>
      </c>
    </row>
    <row r="16" spans="1:12" x14ac:dyDescent="0.25">
      <c r="A16" t="s">
        <v>14</v>
      </c>
      <c r="B16" s="1">
        <v>27.45</v>
      </c>
      <c r="F16" t="s">
        <v>39</v>
      </c>
      <c r="G16" s="1">
        <f>+'CCNL EELL'!J20</f>
        <v>15.6</v>
      </c>
      <c r="H16" s="1">
        <f>+'CCNL EELL'!K20</f>
        <v>15.37</v>
      </c>
      <c r="K16" s="109" t="str">
        <f>+IF(INPUT!$C$26=INPUT!$C$194,'CCNL-appoggio'!A16,IF(INPUT!$C$26=INPUT!$C$195,'CCNL-appoggio'!F16,'CCNL-appoggio'!F16))</f>
        <v>F1 con i.p.</v>
      </c>
      <c r="L16" s="110">
        <f>+IF(INPUT!$C$26=INPUT!$C$194,'CCNL-appoggio'!B16,IF(INPUT!$C$26=INPUT!$C$195,'CCNL-appoggio'!G16,'CCNL-appoggio'!H16))</f>
        <v>27.45</v>
      </c>
    </row>
    <row r="17" spans="1:12" x14ac:dyDescent="0.25">
      <c r="A17" t="s">
        <v>15</v>
      </c>
      <c r="B17" s="1">
        <v>30.65</v>
      </c>
      <c r="F17" t="s">
        <v>40</v>
      </c>
      <c r="G17" s="1">
        <f>+'CCNL EELL'!J21</f>
        <v>15.37</v>
      </c>
      <c r="H17" s="1">
        <f>+'CCNL EELL'!K21</f>
        <v>15.15</v>
      </c>
      <c r="K17" s="109" t="str">
        <f>+IF(INPUT!$C$26=INPUT!$C$194,'CCNL-appoggio'!A17,IF(INPUT!$C$26=INPUT!$C$195,'CCNL-appoggio'!F17,'CCNL-appoggio'!F17))</f>
        <v>F2</v>
      </c>
      <c r="L17" s="110">
        <f>+IF(INPUT!$C$26=INPUT!$C$194,'CCNL-appoggio'!B17,IF(INPUT!$C$26=INPUT!$C$195,'CCNL-appoggio'!G17,'CCNL-appoggio'!H17))</f>
        <v>30.65</v>
      </c>
    </row>
    <row r="18" spans="1:12" x14ac:dyDescent="0.25">
      <c r="A18" t="s">
        <v>16</v>
      </c>
      <c r="B18" s="1">
        <v>30.65</v>
      </c>
      <c r="F18" t="s">
        <v>41</v>
      </c>
      <c r="G18" s="1">
        <f>+'CCNL EELL'!J22</f>
        <v>14.78</v>
      </c>
      <c r="H18" s="1">
        <f>+'CCNL EELL'!K22</f>
        <v>14.57</v>
      </c>
      <c r="K18" s="109" t="str">
        <f>+IF(INPUT!$C$26=INPUT!$C$194,'CCNL-appoggio'!A18,IF(INPUT!$C$26=INPUT!$C$195,'CCNL-appoggio'!F18,'CCNL-appoggio'!F18))</f>
        <v>F2 con i.d.</v>
      </c>
      <c r="L18" s="110">
        <f>+IF(INPUT!$C$26=INPUT!$C$194,'CCNL-appoggio'!B18,IF(INPUT!$C$26=INPUT!$C$195,'CCNL-appoggio'!G18,'CCNL-appoggio'!H18))</f>
        <v>30.65</v>
      </c>
    </row>
    <row r="19" spans="1:12" x14ac:dyDescent="0.25">
      <c r="F19" t="s">
        <v>3</v>
      </c>
      <c r="G19" s="1">
        <f>+'CCNL EELL'!J23</f>
        <v>14.54</v>
      </c>
      <c r="H19" s="1">
        <f>+'CCNL EELL'!K23</f>
        <v>14.33</v>
      </c>
      <c r="K19" s="109">
        <f>+IF(INPUT!$C$26=INPUT!$C$194,'CCNL-appoggio'!A19,IF(INPUT!$C$26=INPUT!$C$195,'CCNL-appoggio'!F19,'CCNL-appoggio'!F19))</f>
        <v>0</v>
      </c>
      <c r="L19" s="110">
        <f>+IF(INPUT!$C$26=INPUT!$C$194,'CCNL-appoggio'!B19,IF(INPUT!$C$26=INPUT!$C$195,'CCNL-appoggio'!G19,'CCNL-appoggio'!H19))</f>
        <v>0</v>
      </c>
    </row>
    <row r="20" spans="1:12" x14ac:dyDescent="0.25">
      <c r="F20" t="s">
        <v>42</v>
      </c>
      <c r="G20" s="1">
        <f>+'CCNL EELL'!J24</f>
        <v>14.79</v>
      </c>
      <c r="H20" s="1">
        <f>+'CCNL EELL'!K24</f>
        <v>14.58</v>
      </c>
      <c r="K20" s="109">
        <f>+IF(INPUT!$C$26=INPUT!$C$194,'CCNL-appoggio'!A20,IF(INPUT!$C$26=INPUT!$C$195,'CCNL-appoggio'!F20,'CCNL-appoggio'!F20))</f>
        <v>0</v>
      </c>
      <c r="L20" s="110">
        <f>+IF(INPUT!$C$26=INPUT!$C$194,'CCNL-appoggio'!B20,IF(INPUT!$C$26=INPUT!$C$195,'CCNL-appoggio'!G20,'CCNL-appoggio'!H20))</f>
        <v>0</v>
      </c>
    </row>
    <row r="21" spans="1:12" x14ac:dyDescent="0.25">
      <c r="F21" t="s">
        <v>43</v>
      </c>
      <c r="G21" s="1">
        <f>+'CCNL EELL'!J25</f>
        <v>14.49</v>
      </c>
      <c r="H21" s="1">
        <f>+'CCNL EELL'!K25</f>
        <v>14.28</v>
      </c>
      <c r="K21" s="109">
        <f>+IF(INPUT!$C$26=INPUT!$C$194,'CCNL-appoggio'!A21,IF(INPUT!$C$26=INPUT!$C$195,'CCNL-appoggio'!F21,'CCNL-appoggio'!F21))</f>
        <v>0</v>
      </c>
      <c r="L21" s="110">
        <f>+IF(INPUT!$C$26=INPUT!$C$194,'CCNL-appoggio'!B21,IF(INPUT!$C$26=INPUT!$C$195,'CCNL-appoggio'!G21,'CCNL-appoggio'!H21))</f>
        <v>0</v>
      </c>
    </row>
    <row r="22" spans="1:12" x14ac:dyDescent="0.25">
      <c r="F22" t="s">
        <v>44</v>
      </c>
      <c r="G22" s="1">
        <f>+'CCNL EELL'!J26</f>
        <v>14.24</v>
      </c>
      <c r="H22" s="1">
        <f>+'CCNL EELL'!K26</f>
        <v>14.03</v>
      </c>
      <c r="K22" s="109">
        <f>+IF(INPUT!$C$26=INPUT!$C$194,'CCNL-appoggio'!A22,IF(INPUT!$C$26=INPUT!$C$195,'CCNL-appoggio'!F22,'CCNL-appoggio'!F22))</f>
        <v>0</v>
      </c>
      <c r="L22" s="110">
        <f>+IF(INPUT!$C$26=INPUT!$C$194,'CCNL-appoggio'!B22,IF(INPUT!$C$26=INPUT!$C$195,'CCNL-appoggio'!G22,'CCNL-appoggio'!H22))</f>
        <v>0</v>
      </c>
    </row>
    <row r="23" spans="1:12" x14ac:dyDescent="0.25">
      <c r="F23" t="s">
        <v>5</v>
      </c>
      <c r="G23" s="1">
        <f>+'CCNL EELL'!J27</f>
        <v>13.94</v>
      </c>
      <c r="H23" s="1">
        <f>+'CCNL EELL'!K27</f>
        <v>13.74</v>
      </c>
      <c r="K23" s="109">
        <f>+IF(INPUT!$C$26=INPUT!$C$194,'CCNL-appoggio'!A23,IF(INPUT!$C$26=INPUT!$C$195,'CCNL-appoggio'!F23,'CCNL-appoggio'!F23))</f>
        <v>0</v>
      </c>
      <c r="L23" s="110">
        <f>+IF(INPUT!$C$26=INPUT!$C$194,'CCNL-appoggio'!B23,IF(INPUT!$C$26=INPUT!$C$195,'CCNL-appoggio'!G23,'CCNL-appoggio'!H23))</f>
        <v>0</v>
      </c>
    </row>
    <row r="24" spans="1:12" x14ac:dyDescent="0.25">
      <c r="F24" t="s">
        <v>4</v>
      </c>
      <c r="G24" s="1">
        <f>+'CCNL EELL'!J28</f>
        <v>13.76</v>
      </c>
      <c r="H24" s="1">
        <f>+'CCNL EELL'!K28</f>
        <v>13.56</v>
      </c>
      <c r="K24" s="111">
        <f>+IF(INPUT!$C$26=INPUT!$C$194,'CCNL-appoggio'!A24,IF(INPUT!$C$26=INPUT!$C$195,'CCNL-appoggio'!F24,'CCNL-appoggio'!F24))</f>
        <v>0</v>
      </c>
      <c r="L24" s="112">
        <f>+IF(INPUT!$C$26=INPUT!$C$194,'CCNL-appoggio'!B24,IF(INPUT!$C$26=INPUT!$C$195,'CCNL-appoggio'!G24,'CCNL-appoggio'!H24))</f>
        <v>0</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workbookViewId="0">
      <pane ySplit="9" topLeftCell="A22" activePane="bottomLeft" state="frozen"/>
      <selection activeCell="B2" sqref="B2:B18"/>
      <selection pane="bottomLeft" activeCell="B2" sqref="B2:B18"/>
    </sheetView>
  </sheetViews>
  <sheetFormatPr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57</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58</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59</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63</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64</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68</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69</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73</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74</v>
      </c>
    </row>
    <row r="45" spans="1:18" s="89" customFormat="1" hidden="1" x14ac:dyDescent="0.25">
      <c r="B45" s="91" t="s">
        <v>74</v>
      </c>
    </row>
    <row r="46" spans="1:18" s="89" customFormat="1" hidden="1" x14ac:dyDescent="0.25">
      <c r="B46" s="91"/>
    </row>
    <row r="47" spans="1:18" s="89" customFormat="1" hidden="1" x14ac:dyDescent="0.25">
      <c r="B47" s="91" t="s">
        <v>75</v>
      </c>
      <c r="C47" s="90">
        <f>4.97%</f>
        <v>4.9699999999999994E-2</v>
      </c>
    </row>
    <row r="48" spans="1:18" s="89" customFormat="1" hidden="1" x14ac:dyDescent="0.25">
      <c r="B48" s="91" t="s">
        <v>76</v>
      </c>
      <c r="C48" s="90">
        <f>4.4%</f>
        <v>4.4000000000000004E-2</v>
      </c>
    </row>
    <row r="49" spans="1:18" s="89" customFormat="1" hidden="1" x14ac:dyDescent="0.25">
      <c r="B49" s="91" t="s">
        <v>50</v>
      </c>
      <c r="C49" s="92">
        <v>0</v>
      </c>
    </row>
    <row r="50" spans="1:18" s="89" customFormat="1" hidden="1" x14ac:dyDescent="0.25">
      <c r="B50" s="91" t="s">
        <v>77</v>
      </c>
      <c r="C50" s="92">
        <v>0</v>
      </c>
    </row>
    <row r="51" spans="1:18" s="89" customFormat="1" hidden="1" x14ac:dyDescent="0.25">
      <c r="B51" s="91"/>
    </row>
    <row r="52" spans="1:18" s="89" customFormat="1" hidden="1" x14ac:dyDescent="0.25">
      <c r="B52" s="91" t="s">
        <v>53</v>
      </c>
    </row>
    <row r="53" spans="1:18" s="89" customFormat="1" hidden="1" x14ac:dyDescent="0.25">
      <c r="B53" s="91" t="s">
        <v>78</v>
      </c>
    </row>
    <row r="54" spans="1:18" s="89" customFormat="1" hidden="1" x14ac:dyDescent="0.25">
      <c r="B54" s="91"/>
    </row>
    <row r="55" spans="1:18" s="89" customFormat="1" hidden="1" x14ac:dyDescent="0.25">
      <c r="A55" s="89" t="s">
        <v>79</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3" type="noConversion"/>
  <conditionalFormatting sqref="B2">
    <cfRule type="expression" dxfId="0"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B2" sqref="B2:B18"/>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13" x14ac:dyDescent="0.25">
      <c r="E1" s="365" t="s">
        <v>80</v>
      </c>
      <c r="F1" s="365"/>
      <c r="G1" s="365"/>
      <c r="H1" s="87">
        <v>0</v>
      </c>
    </row>
    <row r="2" spans="1:13" x14ac:dyDescent="0.25">
      <c r="E2" s="365" t="s">
        <v>81</v>
      </c>
      <c r="F2" s="365"/>
      <c r="G2" s="365"/>
      <c r="H2" s="88">
        <v>26</v>
      </c>
    </row>
    <row r="3" spans="1:13" ht="15.75" thickBot="1" x14ac:dyDescent="0.3"/>
    <row r="4" spans="1:13" ht="15.75" thickBot="1" x14ac:dyDescent="0.3">
      <c r="A4" s="35" t="s">
        <v>82</v>
      </c>
      <c r="J4" s="366" t="s">
        <v>83</v>
      </c>
      <c r="K4" s="367"/>
      <c r="L4" s="367"/>
      <c r="M4" s="368"/>
    </row>
    <row r="5" spans="1:13" ht="60" x14ac:dyDescent="0.25">
      <c r="A5" s="36"/>
      <c r="B5" s="37" t="s">
        <v>84</v>
      </c>
      <c r="C5" s="38" t="s">
        <v>85</v>
      </c>
      <c r="D5" s="39" t="s">
        <v>86</v>
      </c>
      <c r="E5" s="39" t="s">
        <v>87</v>
      </c>
      <c r="F5" s="39" t="s">
        <v>88</v>
      </c>
      <c r="G5" s="39" t="s">
        <v>62</v>
      </c>
      <c r="H5" s="40" t="s">
        <v>89</v>
      </c>
      <c r="I5" s="41" t="s">
        <v>90</v>
      </c>
      <c r="J5" s="42" t="s">
        <v>91</v>
      </c>
      <c r="K5" s="43" t="s">
        <v>92</v>
      </c>
      <c r="L5" s="44" t="s">
        <v>93</v>
      </c>
      <c r="M5" s="45" t="s">
        <v>94</v>
      </c>
    </row>
    <row r="6" spans="1:13" x14ac:dyDescent="0.25">
      <c r="A6" s="46" t="s">
        <v>95</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96</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97</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98</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99</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100</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101</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102</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103</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104</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105</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106</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107</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108</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109</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110</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111</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112</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113</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114</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115</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116</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117</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18</vt:i4>
      </vt:variant>
    </vt:vector>
  </HeadingPairs>
  <TitlesOfParts>
    <vt:vector size="24" baseType="lpstr">
      <vt:lpstr>INPUT</vt:lpstr>
      <vt:lpstr>SCHEDA DI INTERVENTO</vt:lpstr>
      <vt:lpstr>esprortazione</vt:lpstr>
      <vt:lpstr>CCNL-appoggio</vt:lpstr>
      <vt:lpstr>CCNL cooperative</vt:lpstr>
      <vt:lpstr>CCNL EELL</vt:lpstr>
      <vt:lpstr>esprortazione!Area_stampa</vt:lpstr>
      <vt:lpstr>CCNLCoopCost</vt:lpstr>
      <vt:lpstr>CCNLCoopDes</vt:lpstr>
      <vt:lpstr>CCNLEELLCostOrd</vt:lpstr>
      <vt:lpstr>CCNLEELLCostStraord</vt:lpstr>
      <vt:lpstr>CCNLEELLDes</vt:lpstr>
      <vt:lpstr>mensilitàAttualiDettaglio</vt:lpstr>
      <vt:lpstr>mensilitàPacDettaglio</vt:lpstr>
      <vt:lpstr>mensilitàPacDettaglio1516</vt:lpstr>
      <vt:lpstr>mensilitàPacDettaglio1617</vt:lpstr>
      <vt:lpstr>oreServizioPacDettaglio</vt:lpstr>
      <vt:lpstr>risorseNettePacDettaglio1516</vt:lpstr>
      <vt:lpstr>risorseNettePacDettaglio1617</vt:lpstr>
      <vt:lpstr>struttureInterventiPacDettaglio</vt:lpstr>
      <vt:lpstr>strutturePACdettaglio</vt:lpstr>
      <vt:lpstr>tipologiaInterventoPacDettaglio</vt:lpstr>
      <vt:lpstr>utentiAttualiDettaglio</vt:lpstr>
      <vt:lpstr>utentiPacDettaglio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2020-11-30T18:36:21Z</dcterms:modified>
</cp:coreProperties>
</file>