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268"/>
  </bookViews>
  <sheets>
    <sheet name="Fg 1 RICAVI E COSTI" sheetId="1" r:id="rId1"/>
    <sheet name="Foglio1" sheetId="2" r:id="rId2"/>
  </sheets>
  <externalReferences>
    <externalReference r:id="rId3"/>
  </externalReferences>
  <definedNames>
    <definedName name="_xlnm.Print_Area" localSheetId="0">'Fg 1 RICAVI E COSTI'!$A$1:$Y$71</definedName>
  </definedNames>
  <calcPr calcId="144525"/>
</workbook>
</file>

<file path=xl/calcChain.xml><?xml version="1.0" encoding="utf-8"?>
<calcChain xmlns="http://schemas.openxmlformats.org/spreadsheetml/2006/main">
  <c r="AA4" i="1" l="1"/>
  <c r="AA6" i="1" s="1"/>
  <c r="A21" i="1"/>
  <c r="E21" i="1"/>
  <c r="J21" i="1" s="1"/>
  <c r="N21" i="1" s="1"/>
  <c r="W16" i="1" s="1"/>
  <c r="AA21" i="1"/>
  <c r="AB21" i="1"/>
  <c r="AB22" i="1"/>
  <c r="E33" i="1"/>
  <c r="G33" i="1" s="1"/>
  <c r="I33" i="1"/>
  <c r="X33" i="1"/>
  <c r="E35" i="1"/>
  <c r="G35" i="1" s="1"/>
  <c r="K35" i="1" s="1"/>
  <c r="R35" i="1" s="1"/>
  <c r="I35" i="1"/>
  <c r="E37" i="1"/>
  <c r="G37" i="1"/>
  <c r="I37" i="1"/>
  <c r="K37" i="1"/>
  <c r="R37" i="1" s="1"/>
  <c r="E38" i="1"/>
  <c r="G38" i="1" s="1"/>
  <c r="K38" i="1" s="1"/>
  <c r="R38" i="1" s="1"/>
  <c r="I38" i="1"/>
  <c r="E39" i="1"/>
  <c r="G39" i="1"/>
  <c r="I39" i="1"/>
  <c r="K39" i="1"/>
  <c r="R39" i="1" s="1"/>
  <c r="E40" i="1"/>
  <c r="G40" i="1"/>
  <c r="I40" i="1"/>
  <c r="K40" i="1"/>
  <c r="R40" i="1" s="1"/>
  <c r="E43" i="1"/>
  <c r="G43" i="1" s="1"/>
  <c r="K43" i="1" s="1"/>
  <c r="R43" i="1" s="1"/>
  <c r="E45" i="1"/>
  <c r="AA45" i="1"/>
  <c r="W51" i="1"/>
  <c r="W52" i="1"/>
  <c r="W53" i="1"/>
  <c r="X57" i="1"/>
  <c r="X58" i="1"/>
  <c r="X60" i="1"/>
  <c r="Y60" i="1"/>
  <c r="V74" i="1"/>
  <c r="X75" i="1"/>
  <c r="Z75" i="1" s="1"/>
  <c r="AB75" i="1" s="1"/>
  <c r="V78" i="1"/>
  <c r="W78" i="1" s="1"/>
  <c r="D80" i="1"/>
  <c r="E80" i="1" s="1"/>
  <c r="F80" i="1" s="1"/>
  <c r="D81" i="1"/>
  <c r="E81" i="1" s="1"/>
  <c r="H81" i="1"/>
  <c r="V82" i="1"/>
  <c r="Y82" i="1"/>
  <c r="E83" i="1"/>
  <c r="F83" i="1" s="1"/>
  <c r="H83" i="1"/>
  <c r="R83" i="1" s="1"/>
  <c r="V83" i="1"/>
  <c r="V84" i="1"/>
  <c r="F85" i="1"/>
  <c r="V85" i="1"/>
  <c r="T84" i="1" s="1"/>
  <c r="T86" i="1"/>
  <c r="W86" i="1"/>
  <c r="R89" i="1"/>
  <c r="R91" i="1" s="1"/>
  <c r="F90" i="1"/>
  <c r="R90" i="1"/>
  <c r="F91" i="1"/>
  <c r="I91" i="1"/>
  <c r="I92" i="1"/>
  <c r="F93" i="1"/>
  <c r="F94" i="1"/>
  <c r="G94" i="1" s="1"/>
  <c r="I94" i="1"/>
  <c r="I96" i="1"/>
  <c r="E101" i="1"/>
  <c r="E102" i="1"/>
  <c r="H102" i="1" s="1"/>
  <c r="E103" i="1"/>
  <c r="W8" i="2"/>
  <c r="W9" i="2"/>
  <c r="T11" i="2"/>
  <c r="P12" i="2"/>
  <c r="T12" i="2"/>
  <c r="U12" i="2"/>
  <c r="V12" i="2"/>
  <c r="P13" i="2"/>
  <c r="T13" i="2"/>
  <c r="U13" i="2"/>
  <c r="V13" i="2"/>
  <c r="T14" i="2"/>
  <c r="U14" i="2"/>
  <c r="V14" i="2" s="1"/>
  <c r="T15" i="2"/>
  <c r="U15" i="2"/>
  <c r="V15" i="2"/>
  <c r="I16" i="2"/>
  <c r="T16" i="2"/>
  <c r="U16" i="2"/>
  <c r="V16" i="2"/>
  <c r="T17" i="2"/>
  <c r="U17" i="2"/>
  <c r="V17" i="2" s="1"/>
  <c r="C18" i="2"/>
  <c r="I18" i="2" s="1"/>
  <c r="E18" i="2"/>
  <c r="G18" i="2"/>
  <c r="T18" i="2"/>
  <c r="V18" i="2" s="1"/>
  <c r="T19" i="2"/>
  <c r="V19" i="2" s="1"/>
  <c r="I21" i="2"/>
  <c r="J23" i="2" s="1"/>
  <c r="K23" i="2" s="1"/>
  <c r="J21" i="2"/>
  <c r="K21" i="2"/>
  <c r="I25" i="2"/>
  <c r="J25" i="2"/>
  <c r="K25" i="2" s="1"/>
  <c r="I29" i="2"/>
  <c r="J29" i="2"/>
  <c r="K29" i="2"/>
  <c r="C32" i="2"/>
  <c r="E32" i="2"/>
  <c r="I32" i="2" s="1"/>
  <c r="J32" i="2"/>
  <c r="K32" i="2"/>
  <c r="C34" i="2"/>
  <c r="E34" i="2"/>
  <c r="I34" i="2" s="1"/>
  <c r="J34" i="2"/>
  <c r="K34" i="2" s="1"/>
  <c r="K36" i="2" s="1"/>
  <c r="F43" i="2"/>
  <c r="G43" i="2"/>
  <c r="G47" i="2" s="1"/>
  <c r="J47" i="2" s="1"/>
  <c r="P43" i="2"/>
  <c r="S43" i="2"/>
  <c r="F44" i="2"/>
  <c r="G44" i="2"/>
  <c r="F45" i="2"/>
  <c r="F46" i="2"/>
  <c r="G46" i="2"/>
  <c r="F47" i="2"/>
  <c r="H47" i="2"/>
  <c r="I47" i="2" s="1"/>
  <c r="K47" i="2" s="1"/>
  <c r="L47" i="2" s="1"/>
  <c r="F53" i="2"/>
  <c r="G53" i="2"/>
  <c r="P53" i="2"/>
  <c r="S53" i="2"/>
  <c r="F54" i="2"/>
  <c r="G54" i="2"/>
  <c r="F55" i="2"/>
  <c r="G55" i="2"/>
  <c r="F56" i="2"/>
  <c r="G56" i="2"/>
  <c r="F57" i="2"/>
  <c r="G57" i="2"/>
  <c r="F58" i="2" s="1"/>
  <c r="I57" i="2"/>
  <c r="J57" i="2"/>
  <c r="K57" i="2" s="1"/>
  <c r="L57" i="2" s="1"/>
  <c r="K33" i="1" l="1"/>
  <c r="G45" i="1"/>
  <c r="X39" i="1"/>
  <c r="F96" i="1"/>
  <c r="H80" i="1"/>
  <c r="G96" i="1" l="1"/>
  <c r="E104" i="1"/>
  <c r="H104" i="1" s="1"/>
  <c r="R33" i="1"/>
  <c r="K45" i="1"/>
  <c r="W37" i="1" l="1"/>
  <c r="V37" i="1" s="1"/>
  <c r="W39" i="1"/>
  <c r="V39" i="1" s="1"/>
  <c r="W40" i="1"/>
  <c r="V40" i="1" s="1"/>
  <c r="W43" i="1"/>
  <c r="V43" i="1" s="1"/>
  <c r="W44" i="1"/>
  <c r="V44" i="1" s="1"/>
  <c r="R45" i="1"/>
  <c r="R46" i="1" s="1"/>
  <c r="V92" i="1"/>
  <c r="W33" i="1"/>
  <c r="V33" i="1" s="1"/>
  <c r="W35" i="1"/>
  <c r="V35" i="1" s="1"/>
  <c r="W36" i="1"/>
  <c r="V36" i="1" s="1"/>
  <c r="W38" i="1"/>
  <c r="V38" i="1" s="1"/>
  <c r="W46" i="1"/>
  <c r="I64" i="1"/>
  <c r="D74" i="1"/>
  <c r="D79" i="1"/>
  <c r="X46" i="1" l="1"/>
  <c r="W49" i="1"/>
  <c r="E79" i="1"/>
  <c r="E98" i="1" s="1"/>
  <c r="H79" i="1"/>
  <c r="D84" i="1"/>
  <c r="D91" i="1"/>
  <c r="F84" i="1" l="1"/>
  <c r="E84" i="1"/>
  <c r="H84" i="1"/>
  <c r="F79" i="1"/>
  <c r="R79" i="1"/>
  <c r="E91" i="1"/>
  <c r="G78" i="1"/>
  <c r="I79" i="1"/>
  <c r="I81" i="1"/>
  <c r="I50" i="1"/>
  <c r="W23" i="1"/>
  <c r="R47" i="1" l="1"/>
  <c r="I67" i="1"/>
  <c r="I68" i="1" s="1"/>
  <c r="K78" i="1"/>
  <c r="M78" i="1" s="1"/>
  <c r="G90" i="1"/>
  <c r="H103" i="1"/>
  <c r="H101" i="1"/>
  <c r="I84" i="1"/>
  <c r="E87" i="1"/>
  <c r="I90" i="1"/>
  <c r="V90" i="1"/>
  <c r="W90" i="1" s="1"/>
  <c r="Y90" i="1" s="1"/>
  <c r="I53" i="1"/>
  <c r="AA65" i="1"/>
  <c r="G91" i="1"/>
  <c r="E93" i="1"/>
  <c r="H78" i="1"/>
  <c r="D93" i="1"/>
  <c r="X86" i="1" l="1"/>
  <c r="V88" i="1"/>
  <c r="I60" i="1"/>
  <c r="W64" i="1"/>
  <c r="J69" i="1"/>
  <c r="D95" i="1"/>
  <c r="D87" i="1"/>
  <c r="G85" i="1" s="1"/>
  <c r="G93" i="1"/>
  <c r="E95" i="1"/>
  <c r="G95" i="1" s="1"/>
  <c r="G87" i="1"/>
  <c r="I87" i="1" s="1"/>
  <c r="K79" i="1" l="1"/>
  <c r="M79" i="1" s="1"/>
  <c r="K84" i="1"/>
  <c r="L84" i="1" s="1"/>
  <c r="G88" i="1"/>
  <c r="N60" i="1"/>
  <c r="X49" i="1"/>
  <c r="C76" i="1"/>
  <c r="I93" i="1"/>
  <c r="I98" i="1" s="1"/>
  <c r="H93" i="1"/>
  <c r="I95" i="1" s="1"/>
  <c r="AA71" i="1"/>
  <c r="N69" i="1"/>
</calcChain>
</file>

<file path=xl/sharedStrings.xml><?xml version="1.0" encoding="utf-8"?>
<sst xmlns="http://schemas.openxmlformats.org/spreadsheetml/2006/main" count="152" uniqueCount="127">
  <si>
    <t>COMUNE DI MILAZZO  [ ME ]   SETTORE POLIZIA LOCALE</t>
  </si>
  <si>
    <t>monte ore annuo  servizio sosta a pagamento</t>
  </si>
  <si>
    <t>numero addetti impiegati</t>
  </si>
  <si>
    <t>7886472A91</t>
  </si>
  <si>
    <t>monte ore manodopera presunta</t>
  </si>
  <si>
    <r>
      <t xml:space="preserve">CALCOLO DEL VALORE STIMATO DEL CONTRATTO [ </t>
    </r>
    <r>
      <rPr>
        <b/>
        <i/>
        <sz val="20"/>
        <color indexed="8"/>
        <rFont val="Calibri"/>
        <family val="2"/>
      </rPr>
      <t>SERVIZIO TARIFFATO</t>
    </r>
    <r>
      <rPr>
        <b/>
        <sz val="20"/>
        <color indexed="8"/>
        <rFont val="Calibri"/>
        <family val="2"/>
      </rPr>
      <t>] E DEI RELATIVI COSTI A TOTALE CARICO DEL CONCESSIONARIO</t>
    </r>
  </si>
  <si>
    <t xml:space="preserve">                        </t>
  </si>
  <si>
    <t xml:space="preserve">                                  CONCESSIONE SERVIZIO DI GESTIONE AREE URBANE DI SOSTA  A PAGAMENTO, SENZA CUSTODIA , E SERVIZIO DI BIKE SHARING                                   -DURATA ANNI 8 -                                                            </t>
  </si>
  <si>
    <r>
      <t>COSTO DEL LAVORO</t>
    </r>
    <r>
      <rPr>
        <b/>
        <sz val="18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Arial"/>
        <family val="2"/>
      </rPr>
      <t xml:space="preserve">VALORI  PRESUNTI </t>
    </r>
  </si>
  <si>
    <t xml:space="preserve">COSTO DEL LAVORO IN TUTTO IL PERIODO                                                                                  </t>
  </si>
  <si>
    <t>monte ore annue</t>
  </si>
  <si>
    <t>tariffa oraria</t>
  </si>
  <si>
    <t>liv ccnl personale</t>
  </si>
  <si>
    <t xml:space="preserve">costo annuo             </t>
  </si>
  <si>
    <t>costo in 8 anni</t>
  </si>
  <si>
    <t>TOTALE COSTO DEL LAVORO</t>
  </si>
  <si>
    <t>ALTRI  COSTI IN  TUTTO IL PERIODO</t>
  </si>
  <si>
    <r>
      <t xml:space="preserve">RICAVI     </t>
    </r>
    <r>
      <rPr>
        <b/>
        <sz val="18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Arial"/>
        <family val="2"/>
      </rPr>
      <t xml:space="preserve">VALORI  PRESUNTI </t>
    </r>
  </si>
  <si>
    <t>TARIFFA</t>
  </si>
  <si>
    <t>DURATA DEL SERVIZIO</t>
  </si>
  <si>
    <t>STALLI    N°</t>
  </si>
  <si>
    <t>MAX ORE UTILIZZO STALLI                 e                 BICICLETTE                  in 8 anni</t>
  </si>
  <si>
    <t>PRESUNTO UTILIZZO MEDIO STALLI E BICICLETTE</t>
  </si>
  <si>
    <t>TARIFFA SENZA IVA</t>
  </si>
  <si>
    <t>RICAVO PRESUNTO                    IN 8 ANNI</t>
  </si>
  <si>
    <t>RICAVO PRESUNTO MENSILE</t>
  </si>
  <si>
    <t>DETTAGLIO  COSTI PRESUNTI</t>
  </si>
  <si>
    <t>%</t>
  </si>
  <si>
    <t>VALORE ASSOLUTO, CALCOLATO SECONDO LA PERCENTUALE A FIANCO SEGNATA</t>
  </si>
  <si>
    <t xml:space="preserve">ORDIN.          </t>
  </si>
  <si>
    <t>10 0RE GIORNO DA LUNEDI A DOMENICA PER TUTTI I MESI DELL'ANNO</t>
  </si>
  <si>
    <t xml:space="preserve">SEGNALETICA ORIZZ                              </t>
  </si>
  <si>
    <t>RIDOTTA</t>
  </si>
  <si>
    <t xml:space="preserve">Parcometri </t>
  </si>
  <si>
    <t>MOVIDA    1</t>
  </si>
  <si>
    <t xml:space="preserve">[ESTATE 15/6-15/9 : 5 ORE NOTTE DA LUNEDì A DOMENICA X 3 MESI   -                         [ INVERNO  16/9-14/6 :  5 ORE NOTTE VEN SAB DOM X CIASCUNA SETT X 9 MESI ] </t>
  </si>
  <si>
    <t xml:space="preserve">Sensori di sosta </t>
  </si>
  <si>
    <t>MOVIDA    2</t>
  </si>
  <si>
    <t xml:space="preserve">[ ESTATE 15/6-15/9 : 5 ORE NOTTE DA LUNEDì A DOMENICA X 3 MESI   -                     [ INVERNO  16/9-14/6 :  5 ORE NOTTE VEN SAB DOM X CIASCUNA SETT X 9 MESI ] </t>
  </si>
  <si>
    <t>Bike sharing a flusso libero (con 150 biciclette tot)con n.50 rastelliere</t>
  </si>
  <si>
    <t>MARE</t>
  </si>
  <si>
    <t>[ ESTATE 15/6-15/9 : 10 ORE  GIORNO DA LUNEDì A DOMENICA X 3 MESI  ]</t>
  </si>
  <si>
    <t>LAVORO</t>
  </si>
  <si>
    <t>STALLI CARICO E SCARICO MERCI</t>
  </si>
  <si>
    <t>10 0RE GIORNO DA LUNEDI A VENERDI PER TUTTI I MESI DELL'ANNO</t>
  </si>
  <si>
    <t>SPESE GESTIONALI DIVERSE</t>
  </si>
  <si>
    <t>LOCAZIONI-CARBURANTI -MANUTENZIONI-ETC</t>
  </si>
  <si>
    <t xml:space="preserve">BIKE SHARING        </t>
  </si>
  <si>
    <t>TUTTI I GIORNI DELL'ANNO                - H 24 -</t>
  </si>
  <si>
    <t>n. bike</t>
  </si>
  <si>
    <t>Pubblicità bando di gara</t>
  </si>
  <si>
    <t>ACQUISTO MINIBUS N.2 BASE</t>
  </si>
  <si>
    <t>TOT</t>
  </si>
  <si>
    <t>***</t>
  </si>
  <si>
    <t>CANONE BASE</t>
  </si>
  <si>
    <t>IPOTESI  RISULTATO FINALE</t>
  </si>
  <si>
    <r>
      <t xml:space="preserve">COMUNE DI MILAZZO   </t>
    </r>
    <r>
      <rPr>
        <b/>
        <sz val="16"/>
        <color indexed="8"/>
        <rFont val="Calibri"/>
        <family val="2"/>
      </rPr>
      <t xml:space="preserve">                                        RISULTATO PRESUNTO</t>
    </r>
  </si>
  <si>
    <t>CANONE   BASE                          IN 8 ANNI</t>
  </si>
  <si>
    <t xml:space="preserve">RIMBORSI                              </t>
  </si>
  <si>
    <t>RISULTATO  PRESUNTO                                      IN 8 ANNI</t>
  </si>
  <si>
    <t>OLTRE AUMENTO OFFERTA</t>
  </si>
  <si>
    <t>VALORE ANNUO PRESUNTO</t>
  </si>
  <si>
    <r>
      <t xml:space="preserve">CONCESSIONARIO   </t>
    </r>
    <r>
      <rPr>
        <b/>
        <sz val="16"/>
        <color indexed="8"/>
        <rFont val="Calibri"/>
        <family val="2"/>
      </rPr>
      <t xml:space="preserve">                                                RISULTATO PRESUNTO</t>
    </r>
  </si>
  <si>
    <t>RICAVI PRESUNTI                         IN 8 ANNI</t>
  </si>
  <si>
    <t xml:space="preserve">RIMBORSI </t>
  </si>
  <si>
    <t>IL PROGETTISTA  ARCH CARMELO DRAGA'</t>
  </si>
  <si>
    <t>COSTI PRESUNTI                         IN 8 ANNI</t>
  </si>
  <si>
    <t>SOTTRARRE</t>
  </si>
  <si>
    <t>PRESUNTO UTILE LORDO              IN 8 ANNI</t>
  </si>
  <si>
    <t>AUMENTO OFFERTA</t>
  </si>
  <si>
    <t>PRESUNTO UTILE LORDO              ANNUO</t>
  </si>
  <si>
    <t>IL RUP  DOTT.SSA  FRANCESCA SANTANGELO</t>
  </si>
  <si>
    <t>costo del lavoro</t>
  </si>
  <si>
    <t>ausiliari</t>
  </si>
  <si>
    <t xml:space="preserve"> giornate ogni settimana</t>
  </si>
  <si>
    <t>ore per turni al giorno</t>
  </si>
  <si>
    <t>ore di servizio sosta a pagamento</t>
  </si>
  <si>
    <t>periodo</t>
  </si>
  <si>
    <t>autisti</t>
  </si>
  <si>
    <t xml:space="preserve"> antimeridiano</t>
  </si>
  <si>
    <t>pomeridiano</t>
  </si>
  <si>
    <t>notturno</t>
  </si>
  <si>
    <t>gg.feriali</t>
  </si>
  <si>
    <t>al giorno</t>
  </si>
  <si>
    <t>front office</t>
  </si>
  <si>
    <t>gg. Festivi</t>
  </si>
  <si>
    <t xml:space="preserve">totali </t>
  </si>
  <si>
    <t>a settimana</t>
  </si>
  <si>
    <t>addetti manutenzione</t>
  </si>
  <si>
    <t>turno antimeridiano</t>
  </si>
  <si>
    <t>turno pomeridiano</t>
  </si>
  <si>
    <t>turno         notturno</t>
  </si>
  <si>
    <t>zona tariffaria</t>
  </si>
  <si>
    <t>unità per turno</t>
  </si>
  <si>
    <t>gg. a sett.</t>
  </si>
  <si>
    <t>unità tot. al giorno</t>
  </si>
  <si>
    <t>uomini x gg a settimana</t>
  </si>
  <si>
    <t xml:space="preserve">gg per ogni anno </t>
  </si>
  <si>
    <t>rossa</t>
  </si>
  <si>
    <t>ordinaria</t>
  </si>
  <si>
    <t>9 mesi escluso periodo estivo</t>
  </si>
  <si>
    <t>3 mesi periodo estivo</t>
  </si>
  <si>
    <t>verde</t>
  </si>
  <si>
    <t>ridotta</t>
  </si>
  <si>
    <t xml:space="preserve">12 mesi </t>
  </si>
  <si>
    <t>arancio</t>
  </si>
  <si>
    <t>stagionale</t>
  </si>
  <si>
    <t>tot. al giorno per turno 9 mesi escluso periodo estivo</t>
  </si>
  <si>
    <t>tot. al giorno per turno compreso     3 mesi periodo estivo</t>
  </si>
  <si>
    <t>gg  x uomo prestate per ogni anno</t>
  </si>
  <si>
    <t>impiego del personale</t>
  </si>
  <si>
    <r>
      <t>pianificazione del personale</t>
    </r>
    <r>
      <rPr>
        <sz val="11"/>
        <color indexed="8"/>
        <rFont val="Calibri"/>
        <family val="2"/>
      </rPr>
      <t xml:space="preserve"> </t>
    </r>
  </si>
  <si>
    <t>9 mesi   escluso    estate</t>
  </si>
  <si>
    <t>3 mesi estate</t>
  </si>
  <si>
    <t>costo medio annuo + incidenze dipendente      livello V</t>
  </si>
  <si>
    <t>costo medio annuo + incidenze part-time ore 35/40 pari al 87,5%</t>
  </si>
  <si>
    <t>unità lavorative previste in un anno</t>
  </si>
  <si>
    <t>costo del lavoro annuale</t>
  </si>
  <si>
    <t>costo del lavoro per la durata della concessione di anni 8</t>
  </si>
  <si>
    <t>ausiliari del traffico</t>
  </si>
  <si>
    <t>adetti a parcometri e bike sharing</t>
  </si>
  <si>
    <t xml:space="preserve">sommano unità lavorative  </t>
  </si>
  <si>
    <t>monte ore manodopera presunta per coprire il servizio</t>
  </si>
  <si>
    <r>
      <t>ipotesi di pianificazione del personale</t>
    </r>
    <r>
      <rPr>
        <sz val="11"/>
        <color indexed="8"/>
        <rFont val="Calibri"/>
        <family val="2"/>
      </rPr>
      <t xml:space="preserve"> </t>
    </r>
  </si>
  <si>
    <t>tariffa oraria dipendente      livello V</t>
  </si>
  <si>
    <t>costo sul monte ore manodipera      9 mesi escluso estate</t>
  </si>
  <si>
    <t xml:space="preserve">costo sul monte ore manodipera      3 mesi estivi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</si>
</sst>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.000"/>
    <numFmt numFmtId="165" formatCode="_-* #,##0.00_-;\-* #,##0.00_-;_-* \-??_-;_-@_-"/>
    <numFmt numFmtId="166" formatCode="_-[$€-410]\ * #,##0.00_-;\-[$€-410]\ * #,##0.00_-;_-[$€-410]\ * \-??_-;_-@_-"/>
    <numFmt numFmtId="167" formatCode="_-* #,##0_-;\-* #,##0_-;_-* \-??_-;_-@_-"/>
    <numFmt numFmtId="168" formatCode="_-* #,##0.00_-;\-* #,##0.00_-;_-* \-????_-;_-@_-"/>
    <numFmt numFmtId="169" formatCode="_-&quot;€ &quot;* #,##0.00_-;&quot;-€ &quot;* #,##0.00_-;_-&quot;€ &quot;* \-??_-;_-@_-"/>
    <numFmt numFmtId="170" formatCode="0.0000"/>
    <numFmt numFmtId="171" formatCode="#,##0.00_ ;\-#,##0.00\ "/>
    <numFmt numFmtId="172" formatCode="_-* #,##0.000_-;\-* #,##0.000_-;_-* \-??_-;_-@_-"/>
    <numFmt numFmtId="173" formatCode="_-* #,##0.000_-;\-* #,##0.000_-;_-* \-???_-;_-@_-"/>
    <numFmt numFmtId="174" formatCode="_-[$€-410]\ * #,##0.0000_-;\-[$€-410]\ * #,##0.0000_-;_-[$€-410]\ * \-??_-;_-@_-"/>
    <numFmt numFmtId="175" formatCode="_-* #,##0.00_-;\-* #,##0.00_-;_-* \-???_-;_-@_-"/>
  </numFmts>
  <fonts count="55" x14ac:knownFonts="1"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b/>
      <i/>
      <sz val="8"/>
      <color indexed="8"/>
      <name val="Calibri"/>
      <family val="2"/>
    </font>
    <font>
      <b/>
      <i/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9"/>
      <name val="Calibri"/>
      <family val="2"/>
    </font>
    <font>
      <b/>
      <i/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b/>
      <sz val="22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22"/>
      <color indexed="8"/>
      <name val="Calibri"/>
      <family val="2"/>
    </font>
    <font>
      <b/>
      <sz val="16"/>
      <name val="Calibri"/>
      <family val="2"/>
    </font>
    <font>
      <b/>
      <sz val="13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i/>
      <sz val="11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Calibri"/>
      <family val="2"/>
    </font>
    <font>
      <b/>
      <sz val="24"/>
      <color indexed="8"/>
      <name val="Calibri"/>
      <family val="2"/>
    </font>
    <font>
      <b/>
      <sz val="9"/>
      <color indexed="8"/>
      <name val="Arial"/>
      <family val="2"/>
    </font>
    <font>
      <sz val="36"/>
      <color indexed="8"/>
      <name val="Arial"/>
      <family val="2"/>
    </font>
    <font>
      <b/>
      <sz val="15"/>
      <color indexed="8"/>
      <name val="Calibri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Calibri"/>
      <family val="2"/>
    </font>
    <font>
      <b/>
      <i/>
      <sz val="20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Calibri"/>
      <family val="2"/>
    </font>
    <font>
      <b/>
      <sz val="14"/>
      <color indexed="9"/>
      <name val="Arial"/>
      <family val="2"/>
    </font>
    <font>
      <b/>
      <sz val="12"/>
      <color indexed="8"/>
      <name val="Calibri"/>
      <family val="2"/>
    </font>
    <font>
      <b/>
      <sz val="12"/>
      <color indexed="56"/>
      <name val="Arial"/>
      <family val="2"/>
    </font>
    <font>
      <b/>
      <sz val="16"/>
      <color indexed="8"/>
      <name val="Calibri"/>
      <family val="2"/>
    </font>
    <font>
      <b/>
      <sz val="10"/>
      <color indexed="10"/>
      <name val="Calibri"/>
      <family val="2"/>
    </font>
    <font>
      <sz val="18"/>
      <color indexed="8"/>
      <name val="Calibri"/>
      <family val="2"/>
    </font>
    <font>
      <b/>
      <sz val="24"/>
      <color indexed="8"/>
      <name val="Arial"/>
      <family val="2"/>
    </font>
    <font>
      <sz val="18"/>
      <color indexed="9"/>
      <name val="Calibri"/>
      <family val="2"/>
    </font>
    <font>
      <b/>
      <sz val="14"/>
      <color indexed="8"/>
      <name val="Calibri"/>
      <family val="2"/>
    </font>
    <font>
      <b/>
      <sz val="26"/>
      <color indexed="8"/>
      <name val="Arial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3"/>
      <color indexed="8"/>
      <name val="Calibri"/>
      <family val="2"/>
    </font>
    <font>
      <sz val="11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  <fill>
      <patternFill patternType="solid">
        <fgColor indexed="29"/>
        <bgColor indexed="45"/>
      </patternFill>
    </fill>
    <fill>
      <patternFill patternType="solid">
        <fgColor indexed="51"/>
        <bgColor indexed="13"/>
      </patternFill>
    </fill>
    <fill>
      <patternFill patternType="solid">
        <fgColor indexed="11"/>
        <bgColor indexed="49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49"/>
        <bgColor indexed="40"/>
      </patternFill>
    </fill>
    <fill>
      <patternFill patternType="solid">
        <fgColor indexed="43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22"/>
        <bgColor indexed="31"/>
      </patternFill>
    </fill>
    <fill>
      <patternFill patternType="solid">
        <fgColor indexed="17"/>
        <bgColor indexed="21"/>
      </patternFill>
    </fill>
  </fills>
  <borders count="4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4">
    <xf numFmtId="0" fontId="0" fillId="0" borderId="0"/>
    <xf numFmtId="165" fontId="54" fillId="0" borderId="0" applyFill="0" applyBorder="0" applyAlignment="0" applyProtection="0"/>
    <xf numFmtId="169" fontId="54" fillId="0" borderId="0" applyFill="0" applyBorder="0" applyAlignment="0" applyProtection="0"/>
    <xf numFmtId="9" fontId="54" fillId="0" borderId="0" applyFill="0" applyBorder="0" applyAlignment="0" applyProtection="0"/>
  </cellStyleXfs>
  <cellXfs count="358">
    <xf numFmtId="0" fontId="0" fillId="0" borderId="0" xfId="0"/>
    <xf numFmtId="0" fontId="2" fillId="0" borderId="0" xfId="0" applyFont="1"/>
    <xf numFmtId="0" fontId="3" fillId="0" borderId="0" xfId="0" applyFont="1" applyBorder="1"/>
    <xf numFmtId="0" fontId="4" fillId="0" borderId="0" xfId="0" applyFont="1" applyBorder="1"/>
    <xf numFmtId="1" fontId="4" fillId="0" borderId="0" xfId="0" applyNumberFormat="1" applyFont="1" applyBorder="1"/>
    <xf numFmtId="164" fontId="4" fillId="0" borderId="0" xfId="0" applyNumberFormat="1" applyFont="1" applyBorder="1"/>
    <xf numFmtId="165" fontId="3" fillId="0" borderId="0" xfId="1" applyNumberFormat="1" applyFont="1" applyFill="1" applyBorder="1" applyAlignment="1" applyProtection="1"/>
    <xf numFmtId="165" fontId="4" fillId="0" borderId="0" xfId="1" applyFont="1" applyFill="1" applyBorder="1" applyAlignment="1" applyProtection="1"/>
    <xf numFmtId="165" fontId="3" fillId="0" borderId="0" xfId="1" applyFont="1" applyFill="1" applyBorder="1" applyAlignment="1" applyProtection="1"/>
    <xf numFmtId="166" fontId="3" fillId="0" borderId="0" xfId="1" applyNumberFormat="1" applyFont="1" applyFill="1" applyBorder="1" applyAlignment="1" applyProtection="1"/>
    <xf numFmtId="167" fontId="6" fillId="0" borderId="0" xfId="1" applyNumberFormat="1" applyFont="1" applyFill="1" applyBorder="1" applyAlignment="1" applyProtection="1"/>
    <xf numFmtId="0" fontId="0" fillId="0" borderId="2" xfId="0" applyBorder="1"/>
    <xf numFmtId="0" fontId="0" fillId="0" borderId="0" xfId="0" applyBorder="1"/>
    <xf numFmtId="0" fontId="8" fillId="0" borderId="0" xfId="0" applyFont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10" fillId="2" borderId="2" xfId="0" applyFont="1" applyFill="1" applyBorder="1" applyAlignment="1">
      <alignment horizontal="center"/>
    </xf>
    <xf numFmtId="0" fontId="0" fillId="2" borderId="7" xfId="0" applyFill="1" applyBorder="1"/>
    <xf numFmtId="0" fontId="16" fillId="0" borderId="1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165" fontId="2" fillId="0" borderId="0" xfId="0" applyNumberFormat="1" applyFont="1"/>
    <xf numFmtId="0" fontId="10" fillId="2" borderId="10" xfId="0" applyFont="1" applyFill="1" applyBorder="1" applyAlignment="1">
      <alignment horizontal="center"/>
    </xf>
    <xf numFmtId="0" fontId="20" fillId="2" borderId="11" xfId="0" applyFont="1" applyFill="1" applyBorder="1"/>
    <xf numFmtId="0" fontId="21" fillId="2" borderId="11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3" borderId="2" xfId="0" applyFill="1" applyBorder="1"/>
    <xf numFmtId="0" fontId="0" fillId="3" borderId="0" xfId="0" applyFill="1" applyBorder="1"/>
    <xf numFmtId="0" fontId="0" fillId="3" borderId="7" xfId="0" applyFill="1" applyBorder="1"/>
    <xf numFmtId="0" fontId="10" fillId="7" borderId="4" xfId="0" applyFont="1" applyFill="1" applyBorder="1" applyAlignment="1">
      <alignment horizontal="center"/>
    </xf>
    <xf numFmtId="0" fontId="20" fillId="7" borderId="5" xfId="0" applyFont="1" applyFill="1" applyBorder="1"/>
    <xf numFmtId="0" fontId="21" fillId="7" borderId="5" xfId="0" applyFont="1" applyFill="1" applyBorder="1"/>
    <xf numFmtId="0" fontId="0" fillId="7" borderId="5" xfId="0" applyFill="1" applyBorder="1"/>
    <xf numFmtId="0" fontId="0" fillId="7" borderId="6" xfId="0" applyFill="1" applyBorder="1"/>
    <xf numFmtId="0" fontId="10" fillId="7" borderId="2" xfId="0" applyFont="1" applyFill="1" applyBorder="1" applyAlignment="1">
      <alignment horizontal="center"/>
    </xf>
    <xf numFmtId="0" fontId="0" fillId="7" borderId="7" xfId="0" applyFill="1" applyBorder="1"/>
    <xf numFmtId="0" fontId="10" fillId="7" borderId="7" xfId="0" applyFont="1" applyFill="1" applyBorder="1"/>
    <xf numFmtId="0" fontId="10" fillId="7" borderId="10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2" xfId="0" applyFill="1" applyBorder="1"/>
    <xf numFmtId="0" fontId="0" fillId="7" borderId="13" xfId="0" applyFill="1" applyBorder="1"/>
    <xf numFmtId="0" fontId="10" fillId="7" borderId="13" xfId="0" applyFont="1" applyFill="1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21" fillId="0" borderId="0" xfId="0" applyFont="1" applyBorder="1"/>
    <xf numFmtId="0" fontId="26" fillId="5" borderId="0" xfId="0" applyFont="1" applyFill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1" fontId="12" fillId="4" borderId="1" xfId="0" applyNumberFormat="1" applyFont="1" applyFill="1" applyBorder="1" applyAlignment="1">
      <alignment horizontal="center" vertical="center" textRotation="90"/>
    </xf>
    <xf numFmtId="165" fontId="24" fillId="0" borderId="1" xfId="1" applyFont="1" applyFill="1" applyBorder="1" applyAlignment="1" applyProtection="1">
      <alignment horizontal="center" vertical="center"/>
    </xf>
    <xf numFmtId="165" fontId="13" fillId="0" borderId="1" xfId="1" applyFont="1" applyFill="1" applyBorder="1" applyAlignment="1" applyProtection="1">
      <alignment horizontal="center" vertical="center"/>
    </xf>
    <xf numFmtId="10" fontId="3" fillId="8" borderId="14" xfId="3" applyNumberFormat="1" applyFont="1" applyFill="1" applyBorder="1" applyAlignment="1" applyProtection="1"/>
    <xf numFmtId="10" fontId="13" fillId="0" borderId="1" xfId="3" applyNumberFormat="1" applyFont="1" applyFill="1" applyBorder="1" applyAlignment="1" applyProtection="1">
      <alignment horizontal="center" vertical="center"/>
    </xf>
    <xf numFmtId="171" fontId="8" fillId="0" borderId="1" xfId="2" applyNumberFormat="1" applyFont="1" applyFill="1" applyBorder="1" applyAlignment="1" applyProtection="1">
      <alignment horizontal="center" vertical="center" wrapText="1"/>
    </xf>
    <xf numFmtId="170" fontId="2" fillId="0" borderId="0" xfId="0" applyNumberFormat="1" applyFont="1"/>
    <xf numFmtId="9" fontId="13" fillId="0" borderId="1" xfId="3" applyFont="1" applyFill="1" applyBorder="1" applyAlignment="1" applyProtection="1">
      <alignment horizontal="center" vertical="center"/>
    </xf>
    <xf numFmtId="0" fontId="28" fillId="0" borderId="0" xfId="0" applyFont="1"/>
    <xf numFmtId="0" fontId="28" fillId="0" borderId="0" xfId="0" applyFont="1" applyFill="1"/>
    <xf numFmtId="0" fontId="27" fillId="0" borderId="1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1" fontId="12" fillId="4" borderId="0" xfId="0" applyNumberFormat="1" applyFont="1" applyFill="1" applyBorder="1" applyAlignment="1">
      <alignment horizontal="center" vertical="center" textRotation="90"/>
    </xf>
    <xf numFmtId="0" fontId="19" fillId="0" borderId="1" xfId="0" applyFont="1" applyFill="1" applyBorder="1" applyAlignment="1">
      <alignment horizontal="center" vertical="center" wrapText="1"/>
    </xf>
    <xf numFmtId="172" fontId="2" fillId="0" borderId="0" xfId="1" applyNumberFormat="1" applyFont="1" applyFill="1" applyBorder="1" applyAlignment="1" applyProtection="1"/>
    <xf numFmtId="1" fontId="29" fillId="7" borderId="21" xfId="0" applyNumberFormat="1" applyFont="1" applyFill="1" applyBorder="1" applyAlignment="1">
      <alignment horizontal="center" vertical="center"/>
    </xf>
    <xf numFmtId="10" fontId="3" fillId="7" borderId="14" xfId="3" applyNumberFormat="1" applyFont="1" applyFill="1" applyBorder="1" applyAlignment="1" applyProtection="1">
      <alignment horizontal="center"/>
    </xf>
    <xf numFmtId="10" fontId="8" fillId="7" borderId="1" xfId="3" applyNumberFormat="1" applyFont="1" applyFill="1" applyBorder="1" applyAlignment="1" applyProtection="1">
      <alignment horizontal="center" vertical="center"/>
    </xf>
    <xf numFmtId="171" fontId="8" fillId="7" borderId="14" xfId="0" applyNumberFormat="1" applyFont="1" applyFill="1" applyBorder="1" applyAlignment="1">
      <alignment horizontal="center" vertical="center"/>
    </xf>
    <xf numFmtId="0" fontId="0" fillId="7" borderId="0" xfId="0" applyFill="1"/>
    <xf numFmtId="0" fontId="2" fillId="7" borderId="0" xfId="0" applyFont="1" applyFill="1"/>
    <xf numFmtId="1" fontId="15" fillId="7" borderId="25" xfId="0" applyNumberFormat="1" applyFont="1" applyFill="1" applyBorder="1" applyAlignment="1">
      <alignment horizontal="center" vertical="center"/>
    </xf>
    <xf numFmtId="166" fontId="3" fillId="7" borderId="14" xfId="3" applyNumberFormat="1" applyFont="1" applyFill="1" applyBorder="1" applyAlignment="1" applyProtection="1"/>
    <xf numFmtId="0" fontId="18" fillId="7" borderId="8" xfId="0" applyFont="1" applyFill="1" applyBorder="1" applyAlignment="1">
      <alignment horizontal="center" vertical="center"/>
    </xf>
    <xf numFmtId="167" fontId="30" fillId="7" borderId="1" xfId="1" applyNumberFormat="1" applyFont="1" applyFill="1" applyBorder="1" applyAlignment="1" applyProtection="1">
      <alignment horizontal="center" vertical="center"/>
    </xf>
    <xf numFmtId="9" fontId="31" fillId="7" borderId="11" xfId="1" applyNumberFormat="1" applyFont="1" applyFill="1" applyBorder="1" applyAlignment="1" applyProtection="1">
      <alignment horizontal="center" vertical="center"/>
    </xf>
    <xf numFmtId="165" fontId="33" fillId="7" borderId="1" xfId="1" applyFont="1" applyFill="1" applyBorder="1" applyAlignment="1" applyProtection="1">
      <alignment horizontal="center" vertical="center" wrapText="1"/>
    </xf>
    <xf numFmtId="166" fontId="3" fillId="7" borderId="9" xfId="3" applyNumberFormat="1" applyFont="1" applyFill="1" applyBorder="1" applyAlignment="1" applyProtection="1"/>
    <xf numFmtId="165" fontId="2" fillId="7" borderId="0" xfId="0" applyNumberFormat="1" applyFont="1" applyFill="1"/>
    <xf numFmtId="0" fontId="18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167" fontId="30" fillId="0" borderId="0" xfId="1" applyNumberFormat="1" applyFont="1" applyFill="1" applyBorder="1" applyAlignment="1" applyProtection="1">
      <alignment horizontal="center" vertical="center"/>
    </xf>
    <xf numFmtId="9" fontId="31" fillId="0" borderId="0" xfId="1" applyNumberFormat="1" applyFont="1" applyFill="1" applyBorder="1" applyAlignment="1" applyProtection="1">
      <alignment horizontal="center" vertical="center"/>
    </xf>
    <xf numFmtId="165" fontId="30" fillId="0" borderId="0" xfId="1" applyFont="1" applyFill="1" applyBorder="1" applyAlignment="1" applyProtection="1">
      <alignment horizontal="center" vertical="center" wrapText="1"/>
    </xf>
    <xf numFmtId="2" fontId="31" fillId="0" borderId="0" xfId="1" applyNumberFormat="1" applyFont="1" applyFill="1" applyBorder="1" applyAlignment="1" applyProtection="1">
      <alignment horizontal="center" vertical="center" wrapText="1"/>
    </xf>
    <xf numFmtId="173" fontId="32" fillId="0" borderId="0" xfId="0" applyNumberFormat="1" applyFont="1" applyBorder="1" applyAlignment="1">
      <alignment horizontal="center" vertical="center"/>
    </xf>
    <xf numFmtId="165" fontId="33" fillId="0" borderId="0" xfId="1" applyFont="1" applyFill="1" applyBorder="1" applyAlignment="1" applyProtection="1">
      <alignment horizontal="center" vertical="center" wrapText="1"/>
    </xf>
    <xf numFmtId="166" fontId="3" fillId="8" borderId="9" xfId="3" applyNumberFormat="1" applyFont="1" applyFill="1" applyBorder="1" applyAlignment="1" applyProtection="1"/>
    <xf numFmtId="171" fontId="8" fillId="0" borderId="1" xfId="0" applyNumberFormat="1" applyFont="1" applyBorder="1" applyAlignment="1">
      <alignment horizontal="center" vertical="center"/>
    </xf>
    <xf numFmtId="166" fontId="3" fillId="0" borderId="0" xfId="3" applyNumberFormat="1" applyFont="1" applyFill="1" applyBorder="1" applyAlignment="1" applyProtection="1"/>
    <xf numFmtId="10" fontId="13" fillId="0" borderId="0" xfId="3" applyNumberFormat="1" applyFont="1" applyFill="1" applyBorder="1" applyAlignment="1" applyProtection="1">
      <alignment horizontal="center" vertical="center" wrapText="1"/>
    </xf>
    <xf numFmtId="10" fontId="13" fillId="0" borderId="0" xfId="3" applyNumberFormat="1" applyFont="1" applyFill="1" applyBorder="1" applyAlignment="1" applyProtection="1">
      <alignment horizontal="center" vertical="center"/>
    </xf>
    <xf numFmtId="171" fontId="14" fillId="0" borderId="0" xfId="0" applyNumberFormat="1" applyFont="1" applyBorder="1" applyAlignment="1">
      <alignment horizontal="center" vertical="center"/>
    </xf>
    <xf numFmtId="165" fontId="9" fillId="0" borderId="0" xfId="1" applyFont="1" applyFill="1" applyBorder="1" applyAlignment="1" applyProtection="1">
      <alignment horizontal="center" vertical="center"/>
    </xf>
    <xf numFmtId="10" fontId="36" fillId="0" borderId="0" xfId="3" applyNumberFormat="1" applyFont="1" applyFill="1" applyBorder="1" applyAlignment="1" applyProtection="1">
      <alignment horizontal="center" vertical="center"/>
    </xf>
    <xf numFmtId="171" fontId="37" fillId="0" borderId="0" xfId="0" applyNumberFormat="1" applyFont="1" applyFill="1" applyBorder="1" applyAlignment="1">
      <alignment horizontal="center" vertical="center"/>
    </xf>
    <xf numFmtId="165" fontId="38" fillId="0" borderId="0" xfId="1" applyFont="1" applyFill="1" applyBorder="1" applyAlignment="1" applyProtection="1">
      <alignment horizontal="center" vertical="center"/>
    </xf>
    <xf numFmtId="165" fontId="2" fillId="0" borderId="0" xfId="1" applyFont="1" applyFill="1" applyBorder="1" applyAlignment="1" applyProtection="1"/>
    <xf numFmtId="0" fontId="21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center" vertical="center" textRotation="90"/>
    </xf>
    <xf numFmtId="167" fontId="40" fillId="0" borderId="0" xfId="1" applyNumberFormat="1" applyFont="1" applyFill="1" applyBorder="1" applyAlignment="1" applyProtection="1">
      <alignment horizontal="center" vertical="center"/>
    </xf>
    <xf numFmtId="9" fontId="19" fillId="0" borderId="0" xfId="1" applyNumberFormat="1" applyFont="1" applyFill="1" applyBorder="1" applyAlignment="1" applyProtection="1">
      <alignment horizontal="center" vertical="center"/>
    </xf>
    <xf numFmtId="165" fontId="13" fillId="0" borderId="0" xfId="1" applyFont="1" applyFill="1" applyBorder="1" applyAlignment="1" applyProtection="1">
      <alignment horizontal="center" vertical="center" wrapText="1"/>
    </xf>
    <xf numFmtId="173" fontId="12" fillId="0" borderId="0" xfId="0" applyNumberFormat="1" applyFont="1" applyBorder="1"/>
    <xf numFmtId="0" fontId="2" fillId="0" borderId="0" xfId="0" applyFont="1" applyFill="1"/>
    <xf numFmtId="171" fontId="2" fillId="0" borderId="0" xfId="0" applyNumberFormat="1" applyFont="1" applyFill="1"/>
    <xf numFmtId="166" fontId="2" fillId="0" borderId="0" xfId="0" applyNumberFormat="1" applyFont="1" applyFill="1"/>
    <xf numFmtId="0" fontId="0" fillId="0" borderId="0" xfId="0" applyFill="1"/>
    <xf numFmtId="0" fontId="0" fillId="0" borderId="5" xfId="0" applyBorder="1"/>
    <xf numFmtId="0" fontId="0" fillId="0" borderId="6" xfId="0" applyBorder="1"/>
    <xf numFmtId="10" fontId="3" fillId="0" borderId="0" xfId="3" applyNumberFormat="1" applyFont="1" applyFill="1" applyBorder="1" applyAlignment="1" applyProtection="1"/>
    <xf numFmtId="0" fontId="2" fillId="0" borderId="0" xfId="0" applyFont="1" applyFill="1" applyBorder="1"/>
    <xf numFmtId="0" fontId="0" fillId="0" borderId="7" xfId="0" applyBorder="1"/>
    <xf numFmtId="165" fontId="43" fillId="0" borderId="0" xfId="1" applyFont="1" applyFill="1" applyBorder="1" applyAlignment="1" applyProtection="1"/>
    <xf numFmtId="0" fontId="21" fillId="0" borderId="2" xfId="0" applyFont="1" applyBorder="1" applyAlignment="1">
      <alignment horizontal="center" vertical="center"/>
    </xf>
    <xf numFmtId="174" fontId="8" fillId="0" borderId="7" xfId="3" applyNumberFormat="1" applyFont="1" applyFill="1" applyBorder="1" applyAlignment="1" applyProtection="1">
      <alignment horizontal="center"/>
    </xf>
    <xf numFmtId="0" fontId="14" fillId="0" borderId="30" xfId="0" applyFont="1" applyBorder="1" applyAlignment="1">
      <alignment horizontal="center" vertical="center" wrapText="1"/>
    </xf>
    <xf numFmtId="0" fontId="0" fillId="0" borderId="0" xfId="0" applyFill="1" applyBorder="1"/>
    <xf numFmtId="165" fontId="2" fillId="0" borderId="0" xfId="0" applyNumberFormat="1" applyFont="1" applyFill="1"/>
    <xf numFmtId="165" fontId="45" fillId="0" borderId="0" xfId="1" applyFont="1" applyFill="1" applyBorder="1" applyAlignment="1" applyProtection="1"/>
    <xf numFmtId="2" fontId="2" fillId="0" borderId="0" xfId="0" applyNumberFormat="1" applyFont="1" applyFill="1"/>
    <xf numFmtId="9" fontId="2" fillId="0" borderId="0" xfId="3" applyFont="1" applyFill="1" applyBorder="1" applyAlignment="1" applyProtection="1"/>
    <xf numFmtId="2" fontId="0" fillId="0" borderId="0" xfId="0" applyNumberFormat="1" applyFill="1"/>
    <xf numFmtId="9" fontId="2" fillId="0" borderId="0" xfId="0" applyNumberFormat="1" applyFont="1" applyFill="1"/>
    <xf numFmtId="0" fontId="8" fillId="0" borderId="0" xfId="0" applyFont="1" applyFill="1"/>
    <xf numFmtId="0" fontId="0" fillId="0" borderId="18" xfId="0" applyBorder="1"/>
    <xf numFmtId="0" fontId="0" fillId="0" borderId="33" xfId="0" applyBorder="1"/>
    <xf numFmtId="165" fontId="46" fillId="0" borderId="0" xfId="0" applyNumberFormat="1" applyFont="1" applyBorder="1" applyAlignment="1">
      <alignment horizontal="center" vertical="center"/>
    </xf>
    <xf numFmtId="165" fontId="48" fillId="0" borderId="0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Border="1"/>
    <xf numFmtId="165" fontId="2" fillId="0" borderId="0" xfId="0" applyNumberFormat="1" applyFont="1" applyFill="1" applyBorder="1"/>
    <xf numFmtId="0" fontId="49" fillId="0" borderId="0" xfId="0" applyFont="1" applyFill="1"/>
    <xf numFmtId="2" fontId="49" fillId="0" borderId="0" xfId="0" applyNumberFormat="1" applyFont="1" applyFill="1"/>
    <xf numFmtId="173" fontId="49" fillId="0" borderId="0" xfId="0" applyNumberFormat="1" applyFont="1" applyFill="1"/>
    <xf numFmtId="175" fontId="49" fillId="0" borderId="0" xfId="0" applyNumberFormat="1" applyFont="1" applyFill="1"/>
    <xf numFmtId="10" fontId="49" fillId="0" borderId="0" xfId="0" applyNumberFormat="1" applyFont="1" applyFill="1"/>
    <xf numFmtId="9" fontId="49" fillId="0" borderId="0" xfId="0" applyNumberFormat="1" applyFont="1" applyFill="1"/>
    <xf numFmtId="165" fontId="49" fillId="0" borderId="0" xfId="0" applyNumberFormat="1" applyFont="1" applyFill="1"/>
    <xf numFmtId="173" fontId="2" fillId="0" borderId="0" xfId="0" applyNumberFormat="1" applyFont="1" applyFill="1"/>
    <xf numFmtId="175" fontId="2" fillId="0" borderId="0" xfId="0" applyNumberFormat="1" applyFont="1" applyFill="1"/>
    <xf numFmtId="0" fontId="50" fillId="0" borderId="0" xfId="0" applyFont="1" applyBorder="1" applyAlignment="1">
      <alignment horizontal="center" vertical="center"/>
    </xf>
    <xf numFmtId="167" fontId="54" fillId="7" borderId="0" xfId="1" applyNumberFormat="1" applyFill="1" applyBorder="1" applyAlignment="1" applyProtection="1"/>
    <xf numFmtId="167" fontId="54" fillId="0" borderId="0" xfId="1" applyNumberFormat="1" applyFill="1" applyBorder="1" applyAlignment="1" applyProtection="1"/>
    <xf numFmtId="167" fontId="0" fillId="0" borderId="0" xfId="0" applyNumberFormat="1"/>
    <xf numFmtId="0" fontId="0" fillId="0" borderId="1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167" fontId="8" fillId="0" borderId="0" xfId="1" applyNumberFormat="1" applyFont="1" applyFill="1" applyBorder="1" applyAlignment="1" applyProtection="1"/>
    <xf numFmtId="0" fontId="0" fillId="0" borderId="35" xfId="0" applyFont="1" applyBorder="1" applyAlignment="1">
      <alignment horizontal="center" vertical="center"/>
    </xf>
    <xf numFmtId="0" fontId="0" fillId="0" borderId="36" xfId="0" applyBorder="1" applyAlignment="1"/>
    <xf numFmtId="0" fontId="0" fillId="0" borderId="10" xfId="0" applyFont="1" applyBorder="1" applyAlignment="1">
      <alignment horizontal="center" vertical="center"/>
    </xf>
    <xf numFmtId="0" fontId="0" fillId="0" borderId="37" xfId="0" applyBorder="1" applyAlignment="1"/>
    <xf numFmtId="0" fontId="0" fillId="0" borderId="38" xfId="0" applyFont="1" applyBorder="1" applyAlignment="1">
      <alignment horizontal="center"/>
    </xf>
    <xf numFmtId="0" fontId="8" fillId="0" borderId="38" xfId="0" applyFont="1" applyBorder="1"/>
    <xf numFmtId="0" fontId="0" fillId="0" borderId="13" xfId="0" applyFont="1" applyBorder="1" applyAlignment="1">
      <alignment horizontal="center"/>
    </xf>
    <xf numFmtId="0" fontId="51" fillId="0" borderId="0" xfId="0" applyFont="1" applyBorder="1" applyAlignment="1">
      <alignment vertical="top" textRotation="90"/>
    </xf>
    <xf numFmtId="0" fontId="0" fillId="0" borderId="11" xfId="0" applyBorder="1" applyAlignment="1">
      <alignment horizontal="center"/>
    </xf>
    <xf numFmtId="0" fontId="8" fillId="0" borderId="39" xfId="0" applyFont="1" applyBorder="1" applyAlignment="1">
      <alignment horizontal="center" textRotation="90" wrapText="1"/>
    </xf>
    <xf numFmtId="0" fontId="8" fillId="0" borderId="40" xfId="0" applyFont="1" applyBorder="1" applyAlignment="1">
      <alignment textRotation="90"/>
    </xf>
    <xf numFmtId="0" fontId="8" fillId="0" borderId="41" xfId="0" applyFont="1" applyBorder="1" applyAlignment="1">
      <alignment textRotation="90"/>
    </xf>
    <xf numFmtId="0" fontId="8" fillId="0" borderId="1" xfId="0" applyFont="1" applyBorder="1" applyAlignment="1">
      <alignment textRotation="90" wrapText="1"/>
    </xf>
    <xf numFmtId="0" fontId="8" fillId="0" borderId="3" xfId="0" applyFont="1" applyBorder="1" applyAlignment="1">
      <alignment horizont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wrapText="1"/>
    </xf>
    <xf numFmtId="0" fontId="0" fillId="6" borderId="0" xfId="0" applyFill="1" applyBorder="1" applyAlignment="1">
      <alignment horizontal="center" wrapText="1"/>
    </xf>
    <xf numFmtId="0" fontId="0" fillId="6" borderId="0" xfId="0" applyFill="1" applyBorder="1" applyAlignment="1">
      <alignment horizontal="center" vertical="center"/>
    </xf>
    <xf numFmtId="0" fontId="0" fillId="11" borderId="21" xfId="0" applyFill="1" applyBorder="1" applyAlignment="1">
      <alignment vertical="center"/>
    </xf>
    <xf numFmtId="0" fontId="0" fillId="6" borderId="0" xfId="0" applyFill="1" applyBorder="1" applyAlignment="1">
      <alignment horizontal="center" vertical="center" wrapText="1"/>
    </xf>
    <xf numFmtId="0" fontId="0" fillId="11" borderId="37" xfId="0" applyFill="1" applyBorder="1" applyAlignment="1">
      <alignment vertical="center"/>
    </xf>
    <xf numFmtId="0" fontId="0" fillId="11" borderId="25" xfId="0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/>
    </xf>
    <xf numFmtId="0" fontId="52" fillId="0" borderId="0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36" xfId="0" applyBorder="1"/>
    <xf numFmtId="0" fontId="0" fillId="0" borderId="14" xfId="0" applyBorder="1"/>
    <xf numFmtId="0" fontId="0" fillId="0" borderId="20" xfId="0" applyBorder="1"/>
    <xf numFmtId="0" fontId="0" fillId="0" borderId="9" xfId="0" applyBorder="1"/>
    <xf numFmtId="165" fontId="0" fillId="0" borderId="13" xfId="1" applyFont="1" applyFill="1" applyBorder="1" applyAlignment="1" applyProtection="1"/>
    <xf numFmtId="165" fontId="8" fillId="0" borderId="9" xfId="1" applyFont="1" applyFill="1" applyBorder="1" applyAlignment="1" applyProtection="1"/>
    <xf numFmtId="0" fontId="8" fillId="0" borderId="9" xfId="0" applyFont="1" applyBorder="1"/>
    <xf numFmtId="165" fontId="8" fillId="0" borderId="9" xfId="0" applyNumberFormat="1" applyFont="1" applyBorder="1"/>
    <xf numFmtId="165" fontId="8" fillId="0" borderId="0" xfId="0" applyNumberFormat="1" applyFont="1" applyBorder="1"/>
    <xf numFmtId="0" fontId="0" fillId="0" borderId="0" xfId="0" applyBorder="1" applyAlignment="1">
      <alignment horizontal="center"/>
    </xf>
    <xf numFmtId="165" fontId="0" fillId="0" borderId="0" xfId="1" applyFont="1" applyFill="1" applyBorder="1" applyAlignment="1" applyProtection="1"/>
    <xf numFmtId="165" fontId="8" fillId="0" borderId="0" xfId="1" applyFont="1" applyFill="1" applyBorder="1" applyAlignment="1" applyProtection="1"/>
    <xf numFmtId="0" fontId="8" fillId="0" borderId="0" xfId="0" applyFont="1" applyBorder="1"/>
    <xf numFmtId="167" fontId="8" fillId="0" borderId="36" xfId="1" applyNumberFormat="1" applyFont="1" applyFill="1" applyBorder="1" applyAlignment="1" applyProtection="1"/>
    <xf numFmtId="167" fontId="8" fillId="0" borderId="36" xfId="0" applyNumberFormat="1" applyFont="1" applyBorder="1"/>
    <xf numFmtId="167" fontId="8" fillId="0" borderId="20" xfId="0" applyNumberFormat="1" applyFont="1" applyBorder="1"/>
    <xf numFmtId="167" fontId="17" fillId="0" borderId="9" xfId="1" applyNumberFormat="1" applyFont="1" applyFill="1" applyBorder="1" applyAlignment="1" applyProtection="1"/>
    <xf numFmtId="0" fontId="8" fillId="0" borderId="1" xfId="0" applyFont="1" applyBorder="1"/>
    <xf numFmtId="165" fontId="8" fillId="0" borderId="1" xfId="1" applyFont="1" applyFill="1" applyBorder="1" applyAlignment="1" applyProtection="1"/>
    <xf numFmtId="167" fontId="8" fillId="0" borderId="1" xfId="0" applyNumberFormat="1" applyFont="1" applyBorder="1"/>
    <xf numFmtId="165" fontId="8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14" fillId="4" borderId="1" xfId="0" applyFont="1" applyFill="1" applyBorder="1" applyAlignment="1">
      <alignment horizontal="center" vertical="center" wrapText="1"/>
    </xf>
    <xf numFmtId="166" fontId="15" fillId="5" borderId="1" xfId="1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167" fontId="17" fillId="0" borderId="1" xfId="1" applyNumberFormat="1" applyFont="1" applyFill="1" applyBorder="1" applyAlignment="1" applyProtection="1">
      <alignment horizontal="center" vertical="center"/>
    </xf>
    <xf numFmtId="165" fontId="18" fillId="6" borderId="1" xfId="1" applyFont="1" applyFill="1" applyBorder="1" applyAlignment="1" applyProtection="1">
      <alignment horizontal="center" vertical="center"/>
    </xf>
    <xf numFmtId="168" fontId="19" fillId="0" borderId="1" xfId="0" applyNumberFormat="1" applyFont="1" applyBorder="1" applyAlignment="1">
      <alignment horizontal="center" vertical="center"/>
    </xf>
    <xf numFmtId="166" fontId="15" fillId="0" borderId="9" xfId="2" applyNumberFormat="1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166" fontId="12" fillId="7" borderId="1" xfId="1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textRotation="90" wrapText="1"/>
    </xf>
    <xf numFmtId="0" fontId="9" fillId="5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5" fillId="8" borderId="3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1" fontId="12" fillId="4" borderId="1" xfId="0" applyNumberFormat="1" applyFont="1" applyFill="1" applyBorder="1" applyAlignment="1">
      <alignment horizontal="center" vertical="center" textRotation="90"/>
    </xf>
    <xf numFmtId="167" fontId="24" fillId="0" borderId="1" xfId="1" applyNumberFormat="1" applyFont="1" applyFill="1" applyBorder="1" applyAlignment="1" applyProtection="1">
      <alignment horizontal="center" vertical="center"/>
    </xf>
    <xf numFmtId="9" fontId="8" fillId="0" borderId="1" xfId="3" applyFont="1" applyFill="1" applyBorder="1" applyAlignment="1" applyProtection="1">
      <alignment horizontal="center" vertical="center"/>
    </xf>
    <xf numFmtId="165" fontId="24" fillId="0" borderId="1" xfId="1" applyFont="1" applyFill="1" applyBorder="1" applyAlignment="1" applyProtection="1">
      <alignment horizontal="center" vertical="center"/>
    </xf>
    <xf numFmtId="170" fontId="13" fillId="0" borderId="1" xfId="1" applyNumberFormat="1" applyFont="1" applyFill="1" applyBorder="1" applyAlignment="1" applyProtection="1">
      <alignment horizontal="center" vertical="center"/>
    </xf>
    <xf numFmtId="166" fontId="23" fillId="0" borderId="1" xfId="2" applyNumberFormat="1" applyFont="1" applyFill="1" applyBorder="1" applyAlignment="1" applyProtection="1">
      <alignment horizontal="center" vertical="center"/>
    </xf>
    <xf numFmtId="165" fontId="13" fillId="0" borderId="1" xfId="1" applyFont="1" applyFill="1" applyBorder="1" applyAlignment="1" applyProtection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10" fontId="13" fillId="0" borderId="1" xfId="3" applyNumberFormat="1" applyFont="1" applyFill="1" applyBorder="1" applyAlignment="1" applyProtection="1">
      <alignment horizontal="center" vertical="center"/>
    </xf>
    <xf numFmtId="171" fontId="8" fillId="0" borderId="1" xfId="2" applyNumberFormat="1" applyFont="1" applyFill="1" applyBorder="1" applyAlignment="1" applyProtection="1">
      <alignment horizontal="center" vertical="center" wrapText="1"/>
    </xf>
    <xf numFmtId="165" fontId="9" fillId="0" borderId="1" xfId="1" applyFont="1" applyFill="1" applyBorder="1" applyAlignment="1" applyProtection="1">
      <alignment horizontal="center" vertical="center"/>
    </xf>
    <xf numFmtId="1" fontId="12" fillId="4" borderId="3" xfId="0" applyNumberFormat="1" applyFont="1" applyFill="1" applyBorder="1" applyAlignment="1">
      <alignment horizontal="center" vertical="center" textRotation="90"/>
    </xf>
    <xf numFmtId="9" fontId="13" fillId="0" borderId="1" xfId="3" applyFont="1" applyFill="1" applyBorder="1" applyAlignment="1" applyProtection="1">
      <alignment horizontal="center" vertical="center"/>
    </xf>
    <xf numFmtId="165" fontId="24" fillId="0" borderId="8" xfId="1" applyFont="1" applyFill="1" applyBorder="1" applyAlignment="1" applyProtection="1">
      <alignment horizontal="center" vertical="center"/>
    </xf>
    <xf numFmtId="10" fontId="9" fillId="0" borderId="15" xfId="3" applyNumberFormat="1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170" fontId="13" fillId="0" borderId="1" xfId="1" applyNumberFormat="1" applyFont="1" applyFill="1" applyBorder="1" applyAlignment="1" applyProtection="1">
      <alignment horizontal="center" vertical="center" wrapText="1"/>
    </xf>
    <xf numFmtId="10" fontId="13" fillId="0" borderId="1" xfId="3" applyNumberFormat="1" applyFont="1" applyFill="1" applyBorder="1" applyAlignment="1" applyProtection="1">
      <alignment horizontal="center" vertical="center" wrapText="1"/>
    </xf>
    <xf numFmtId="165" fontId="19" fillId="0" borderId="1" xfId="1" applyFont="1" applyFill="1" applyBorder="1" applyAlignment="1" applyProtection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1" fontId="12" fillId="4" borderId="16" xfId="0" applyNumberFormat="1" applyFont="1" applyFill="1" applyBorder="1" applyAlignment="1">
      <alignment horizontal="center" vertical="center" textRotation="90"/>
    </xf>
    <xf numFmtId="167" fontId="24" fillId="0" borderId="16" xfId="1" applyNumberFormat="1" applyFont="1" applyFill="1" applyBorder="1" applyAlignment="1" applyProtection="1">
      <alignment horizontal="center" vertical="center"/>
    </xf>
    <xf numFmtId="9" fontId="13" fillId="0" borderId="17" xfId="1" applyNumberFormat="1" applyFont="1" applyFill="1" applyBorder="1" applyAlignment="1" applyProtection="1">
      <alignment horizontal="center" vertical="center"/>
    </xf>
    <xf numFmtId="165" fontId="24" fillId="0" borderId="17" xfId="1" applyFont="1" applyFill="1" applyBorder="1" applyAlignment="1" applyProtection="1">
      <alignment horizontal="center" vertical="center"/>
    </xf>
    <xf numFmtId="2" fontId="13" fillId="0" borderId="17" xfId="1" applyNumberFormat="1" applyFont="1" applyFill="1" applyBorder="1" applyAlignment="1" applyProtection="1">
      <alignment horizontal="center" vertical="center"/>
    </xf>
    <xf numFmtId="166" fontId="23" fillId="0" borderId="18" xfId="2" applyNumberFormat="1" applyFont="1" applyFill="1" applyBorder="1" applyAlignment="1" applyProtection="1">
      <alignment horizontal="center" vertical="center"/>
    </xf>
    <xf numFmtId="10" fontId="19" fillId="0" borderId="19" xfId="3" applyNumberFormat="1" applyFont="1" applyFill="1" applyBorder="1" applyAlignment="1" applyProtection="1">
      <alignment horizontal="center" vertical="center" wrapText="1"/>
    </xf>
    <xf numFmtId="171" fontId="24" fillId="0" borderId="1" xfId="1" applyNumberFormat="1" applyFont="1" applyFill="1" applyBorder="1" applyAlignment="1" applyProtection="1">
      <alignment horizontal="center" vertical="center" wrapText="1"/>
    </xf>
    <xf numFmtId="165" fontId="9" fillId="0" borderId="19" xfId="1" applyFont="1" applyFill="1" applyBorder="1" applyAlignment="1" applyProtection="1">
      <alignment horizontal="center" vertical="center"/>
    </xf>
    <xf numFmtId="0" fontId="19" fillId="0" borderId="20" xfId="3" applyNumberFormat="1" applyFont="1" applyFill="1" applyBorder="1" applyAlignment="1" applyProtection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167" fontId="24" fillId="7" borderId="22" xfId="1" applyNumberFormat="1" applyFont="1" applyFill="1" applyBorder="1" applyAlignment="1" applyProtection="1">
      <alignment horizontal="center" vertical="center"/>
    </xf>
    <xf numFmtId="9" fontId="13" fillId="7" borderId="22" xfId="1" applyNumberFormat="1" applyFont="1" applyFill="1" applyBorder="1" applyAlignment="1" applyProtection="1">
      <alignment horizontal="center" vertical="center"/>
    </xf>
    <xf numFmtId="165" fontId="24" fillId="7" borderId="22" xfId="1" applyFont="1" applyFill="1" applyBorder="1" applyAlignment="1" applyProtection="1">
      <alignment horizontal="center" vertical="center" wrapText="1"/>
    </xf>
    <xf numFmtId="164" fontId="13" fillId="7" borderId="23" xfId="3" applyNumberFormat="1" applyFont="1" applyFill="1" applyBorder="1" applyAlignment="1" applyProtection="1">
      <alignment horizontal="center" vertical="center"/>
    </xf>
    <xf numFmtId="166" fontId="12" fillId="7" borderId="3" xfId="2" applyNumberFormat="1" applyFont="1" applyFill="1" applyBorder="1" applyAlignment="1" applyProtection="1">
      <alignment horizontal="center" vertical="center"/>
    </xf>
    <xf numFmtId="165" fontId="13" fillId="7" borderId="3" xfId="1" applyFont="1" applyFill="1" applyBorder="1" applyAlignment="1" applyProtection="1">
      <alignment horizontal="center" vertical="center" wrapText="1"/>
    </xf>
    <xf numFmtId="0" fontId="9" fillId="7" borderId="24" xfId="0" applyFont="1" applyFill="1" applyBorder="1" applyAlignment="1">
      <alignment horizontal="center" vertical="center" wrapText="1"/>
    </xf>
    <xf numFmtId="165" fontId="9" fillId="7" borderId="24" xfId="1" applyFont="1" applyFill="1" applyBorder="1" applyAlignment="1" applyProtection="1">
      <alignment horizontal="center" vertical="center"/>
    </xf>
    <xf numFmtId="10" fontId="13" fillId="7" borderId="1" xfId="3" applyNumberFormat="1" applyFont="1" applyFill="1" applyBorder="1" applyAlignment="1" applyProtection="1">
      <alignment horizontal="center" vertical="center" wrapText="1"/>
    </xf>
    <xf numFmtId="10" fontId="13" fillId="7" borderId="1" xfId="3" applyNumberFormat="1" applyFont="1" applyFill="1" applyBorder="1" applyAlignment="1" applyProtection="1">
      <alignment horizontal="center" vertical="center"/>
    </xf>
    <xf numFmtId="171" fontId="8" fillId="7" borderId="1" xfId="0" applyNumberFormat="1" applyFont="1" applyFill="1" applyBorder="1" applyAlignment="1">
      <alignment horizontal="center" vertical="center"/>
    </xf>
    <xf numFmtId="165" fontId="9" fillId="7" borderId="1" xfId="1" applyFont="1" applyFill="1" applyBorder="1" applyAlignment="1" applyProtection="1">
      <alignment horizontal="center" vertical="center"/>
    </xf>
    <xf numFmtId="165" fontId="30" fillId="7" borderId="1" xfId="1" applyFont="1" applyFill="1" applyBorder="1" applyAlignment="1" applyProtection="1">
      <alignment horizontal="center" vertical="center" wrapText="1"/>
    </xf>
    <xf numFmtId="2" fontId="31" fillId="7" borderId="11" xfId="1" applyNumberFormat="1" applyFont="1" applyFill="1" applyBorder="1" applyAlignment="1" applyProtection="1">
      <alignment horizontal="center" vertical="center" wrapText="1"/>
    </xf>
    <xf numFmtId="173" fontId="32" fillId="7" borderId="1" xfId="0" applyNumberFormat="1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 wrapText="1"/>
    </xf>
    <xf numFmtId="0" fontId="26" fillId="7" borderId="1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right" vertical="center" wrapText="1"/>
    </xf>
    <xf numFmtId="165" fontId="23" fillId="0" borderId="27" xfId="0" applyNumberFormat="1" applyFont="1" applyBorder="1" applyAlignment="1">
      <alignment horizontal="center" vertical="center"/>
    </xf>
    <xf numFmtId="0" fontId="19" fillId="0" borderId="28" xfId="0" applyFont="1" applyBorder="1" applyAlignment="1">
      <alignment horizontal="right" vertical="center" wrapText="1"/>
    </xf>
    <xf numFmtId="165" fontId="23" fillId="0" borderId="29" xfId="0" applyNumberFormat="1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165" fontId="23" fillId="0" borderId="29" xfId="3" applyNumberFormat="1" applyFont="1" applyFill="1" applyBorder="1" applyAlignment="1" applyProtection="1">
      <alignment horizontal="center" vertical="center"/>
    </xf>
    <xf numFmtId="0" fontId="19" fillId="9" borderId="31" xfId="0" applyFont="1" applyFill="1" applyBorder="1" applyAlignment="1">
      <alignment horizontal="center" vertical="center" wrapText="1"/>
    </xf>
    <xf numFmtId="0" fontId="44" fillId="9" borderId="29" xfId="0" applyFont="1" applyFill="1" applyBorder="1" applyAlignment="1">
      <alignment horizontal="center" vertical="center"/>
    </xf>
    <xf numFmtId="165" fontId="13" fillId="9" borderId="29" xfId="0" applyNumberFormat="1" applyFont="1" applyFill="1" applyBorder="1" applyAlignment="1">
      <alignment horizontal="center" vertical="center"/>
    </xf>
    <xf numFmtId="165" fontId="9" fillId="9" borderId="29" xfId="0" applyNumberFormat="1" applyFont="1" applyFill="1" applyBorder="1" applyAlignment="1">
      <alignment horizontal="center" vertical="center"/>
    </xf>
    <xf numFmtId="165" fontId="19" fillId="9" borderId="29" xfId="0" applyNumberFormat="1" applyFont="1" applyFill="1" applyBorder="1" applyAlignment="1">
      <alignment horizontal="center" vertical="center" wrapText="1"/>
    </xf>
    <xf numFmtId="166" fontId="11" fillId="7" borderId="32" xfId="0" applyNumberFormat="1" applyFont="1" applyFill="1" applyBorder="1" applyAlignment="1">
      <alignment horizontal="center" vertical="center"/>
    </xf>
    <xf numFmtId="9" fontId="15" fillId="7" borderId="32" xfId="3" applyFont="1" applyFill="1" applyBorder="1" applyAlignment="1" applyProtection="1">
      <alignment horizontal="center" vertical="center"/>
    </xf>
    <xf numFmtId="0" fontId="26" fillId="5" borderId="1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right" vertical="center" wrapText="1"/>
    </xf>
    <xf numFmtId="0" fontId="46" fillId="0" borderId="1" xfId="0" applyFont="1" applyBorder="1" applyAlignment="1">
      <alignment horizontal="center" vertical="center"/>
    </xf>
    <xf numFmtId="165" fontId="23" fillId="0" borderId="29" xfId="0" applyNumberFormat="1" applyFont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47" fillId="5" borderId="29" xfId="0" applyFont="1" applyFill="1" applyBorder="1" applyAlignment="1">
      <alignment horizontal="center" vertical="center"/>
    </xf>
    <xf numFmtId="166" fontId="11" fillId="5" borderId="29" xfId="0" applyNumberFormat="1" applyFont="1" applyFill="1" applyBorder="1" applyAlignment="1">
      <alignment horizontal="center" vertical="center"/>
    </xf>
    <xf numFmtId="9" fontId="11" fillId="5" borderId="29" xfId="3" applyFont="1" applyFill="1" applyBorder="1" applyAlignment="1" applyProtection="1">
      <alignment horizontal="center" vertical="center"/>
    </xf>
    <xf numFmtId="165" fontId="46" fillId="0" borderId="1" xfId="0" applyNumberFormat="1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4" xfId="0" applyFont="1" applyBorder="1" applyAlignment="1">
      <alignment horizontal="center" wrapText="1"/>
    </xf>
    <xf numFmtId="165" fontId="0" fillId="0" borderId="8" xfId="1" applyFont="1" applyFill="1" applyBorder="1" applyAlignment="1" applyProtection="1">
      <alignment horizontal="center" wrapText="1"/>
    </xf>
    <xf numFmtId="165" fontId="39" fillId="0" borderId="1" xfId="1" applyFont="1" applyFill="1" applyBorder="1" applyAlignment="1" applyProtection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17" fillId="10" borderId="1" xfId="0" applyFont="1" applyFill="1" applyBorder="1" applyAlignment="1">
      <alignment horizontal="center" vertical="center" textRotation="90"/>
    </xf>
    <xf numFmtId="0" fontId="17" fillId="0" borderId="8" xfId="0" applyFont="1" applyBorder="1" applyAlignment="1">
      <alignment horizontal="center" vertical="center" textRotation="90"/>
    </xf>
    <xf numFmtId="0" fontId="0" fillId="11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8" fillId="11" borderId="1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7" fontId="54" fillId="0" borderId="19" xfId="1" applyNumberFormat="1" applyFill="1" applyBorder="1" applyAlignment="1" applyProtection="1">
      <alignment horizontal="center" vertical="center"/>
    </xf>
    <xf numFmtId="0" fontId="0" fillId="0" borderId="20" xfId="0" applyFont="1" applyBorder="1" applyAlignment="1">
      <alignment horizontal="center" wrapText="1"/>
    </xf>
    <xf numFmtId="0" fontId="0" fillId="4" borderId="43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7" fontId="54" fillId="0" borderId="20" xfId="1" applyNumberFormat="1" applyFill="1" applyBorder="1" applyAlignment="1" applyProtection="1">
      <alignment horizontal="center" vertical="center"/>
    </xf>
    <xf numFmtId="0" fontId="0" fillId="4" borderId="20" xfId="0" applyFont="1" applyFill="1" applyBorder="1" applyAlignment="1">
      <alignment horizontal="center" wrapText="1"/>
    </xf>
    <xf numFmtId="0" fontId="17" fillId="12" borderId="3" xfId="0" applyFont="1" applyFill="1" applyBorder="1" applyAlignment="1">
      <alignment horizontal="center" vertical="center" textRotation="90"/>
    </xf>
    <xf numFmtId="0" fontId="17" fillId="0" borderId="6" xfId="0" applyFont="1" applyBorder="1" applyAlignment="1">
      <alignment horizontal="center" vertical="center" textRotation="90"/>
    </xf>
    <xf numFmtId="0" fontId="0" fillId="11" borderId="2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8" fillId="11" borderId="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7" fontId="54" fillId="0" borderId="15" xfId="1" applyNumberFormat="1" applyFill="1" applyBorder="1" applyAlignment="1" applyProtection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textRotation="90"/>
    </xf>
    <xf numFmtId="0" fontId="0" fillId="0" borderId="40" xfId="0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7" fontId="54" fillId="0" borderId="8" xfId="1" applyNumberFormat="1" applyFill="1" applyBorder="1" applyAlignment="1" applyProtection="1">
      <alignment horizontal="center" vertical="center" wrapText="1"/>
    </xf>
    <xf numFmtId="0" fontId="0" fillId="4" borderId="20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8" fillId="11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54" fillId="0" borderId="19" xfId="1" applyNumberFormat="1" applyFill="1" applyBorder="1" applyAlignment="1" applyProtection="1">
      <alignment horizontal="center" vertical="center"/>
    </xf>
    <xf numFmtId="167" fontId="0" fillId="0" borderId="36" xfId="0" applyNumberFormat="1" applyBorder="1" applyAlignment="1">
      <alignment horizontal="center" vertical="center"/>
    </xf>
    <xf numFmtId="0" fontId="54" fillId="0" borderId="15" xfId="1" applyNumberFormat="1" applyFill="1" applyBorder="1" applyAlignment="1" applyProtection="1">
      <alignment horizontal="center" vertical="center"/>
    </xf>
    <xf numFmtId="167" fontId="0" fillId="0" borderId="15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7" fontId="0" fillId="0" borderId="13" xfId="0" applyNumberFormat="1" applyBorder="1" applyAlignment="1">
      <alignment horizontal="center" vertical="center"/>
    </xf>
    <xf numFmtId="0" fontId="52" fillId="0" borderId="1" xfId="0" applyFont="1" applyBorder="1" applyAlignment="1">
      <alignment horizontal="center"/>
    </xf>
    <xf numFmtId="0" fontId="52" fillId="0" borderId="1" xfId="0" applyFont="1" applyBorder="1" applyAlignment="1">
      <alignment horizontal="center" wrapText="1"/>
    </xf>
    <xf numFmtId="0" fontId="53" fillId="0" borderId="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167" fontId="0" fillId="0" borderId="5" xfId="0" applyNumberFormat="1" applyBorder="1" applyAlignment="1">
      <alignment horizontal="center"/>
    </xf>
  </cellXfs>
  <cellStyles count="4">
    <cellStyle name="Migliaia" xfId="1" builtinId="3"/>
    <cellStyle name="Normale" xfId="0" builtinId="0"/>
    <cellStyle name="Percentuale" xfId="3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0</xdr:row>
      <xdr:rowOff>133350</xdr:rowOff>
    </xdr:from>
    <xdr:to>
      <xdr:col>3</xdr:col>
      <xdr:colOff>552450</xdr:colOff>
      <xdr:row>3</xdr:row>
      <xdr:rowOff>266700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33350"/>
          <a:ext cx="1447800" cy="1219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wnloads/20180130_PROSPETTO%20FINANZIARIO%20manodopera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 1 RICAVI E COSTI"/>
      <sheetName val="Fg 2 LAVORO"/>
      <sheetName val="costo del personale revisionato"/>
      <sheetName val="Foglio1"/>
      <sheetName val="Foglio1 (2)"/>
    </sheetNames>
    <sheetDataSet>
      <sheetData sheetId="0" refreshError="1"/>
      <sheetData sheetId="1" refreshError="1"/>
      <sheetData sheetId="2">
        <row r="28">
          <cell r="AO28">
            <v>16</v>
          </cell>
        </row>
        <row r="30">
          <cell r="AO30">
            <v>18</v>
          </cell>
        </row>
        <row r="39">
          <cell r="AC39">
            <v>3</v>
          </cell>
          <cell r="AD39">
            <v>2</v>
          </cell>
          <cell r="AE39">
            <v>3</v>
          </cell>
        </row>
        <row r="40">
          <cell r="AC40">
            <v>3</v>
          </cell>
          <cell r="AE40">
            <v>1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5"/>
  </sheetPr>
  <dimension ref="A1:AC105"/>
  <sheetViews>
    <sheetView tabSelected="1" view="pageBreakPreview" topLeftCell="A16" zoomScale="55" zoomScaleNormal="55" zoomScaleSheetLayoutView="55" workbookViewId="0">
      <selection activeCell="X43" sqref="X43:Y43"/>
    </sheetView>
  </sheetViews>
  <sheetFormatPr defaultRowHeight="15" x14ac:dyDescent="0.25"/>
  <cols>
    <col min="1" max="1" width="5.140625" customWidth="1"/>
    <col min="2" max="2" width="7.85546875" customWidth="1"/>
    <col min="3" max="3" width="17.5703125" customWidth="1"/>
    <col min="4" max="4" width="19.7109375" customWidth="1"/>
    <col min="5" max="5" width="20.7109375" customWidth="1"/>
    <col min="6" max="6" width="20.140625" customWidth="1"/>
    <col min="7" max="8" width="20.28515625" customWidth="1"/>
    <col min="9" max="9" width="16.7109375" customWidth="1"/>
    <col min="10" max="10" width="7.140625" customWidth="1"/>
    <col min="11" max="11" width="7.5703125" customWidth="1"/>
    <col min="12" max="12" width="5.85546875" customWidth="1"/>
    <col min="13" max="13" width="10.28515625" customWidth="1"/>
    <col min="14" max="14" width="5.5703125" customWidth="1"/>
    <col min="15" max="15" width="1.7109375" customWidth="1"/>
    <col min="16" max="16" width="6.5703125" customWidth="1"/>
    <col min="17" max="17" width="7.28515625" customWidth="1"/>
    <col min="18" max="18" width="19.5703125" customWidth="1"/>
    <col min="19" max="19" width="4.28515625" customWidth="1"/>
    <col min="20" max="20" width="19.140625" customWidth="1"/>
    <col min="21" max="21" width="6.85546875" customWidth="1"/>
    <col min="22" max="22" width="22.42578125" customWidth="1"/>
    <col min="23" max="23" width="19.140625" customWidth="1"/>
    <col min="24" max="24" width="12.7109375" customWidth="1"/>
    <col min="25" max="25" width="10.42578125" customWidth="1"/>
    <col min="26" max="26" width="6.85546875" customWidth="1"/>
    <col min="27" max="27" width="20.42578125" customWidth="1"/>
    <col min="28" max="28" width="29.85546875" customWidth="1"/>
    <col min="29" max="29" width="23.7109375" customWidth="1"/>
  </cols>
  <sheetData>
    <row r="1" spans="1:29" ht="27.75" customHeight="1" x14ac:dyDescent="0.25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1"/>
      <c r="AA1" s="1"/>
      <c r="AB1" s="1"/>
      <c r="AC1" s="1"/>
    </row>
    <row r="2" spans="1:29" ht="30" customHeight="1" x14ac:dyDescent="0.25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1"/>
      <c r="AA2" s="1"/>
      <c r="AB2" s="1"/>
      <c r="AC2" s="1"/>
    </row>
    <row r="3" spans="1:29" ht="27.75" customHeight="1" x14ac:dyDescent="0.25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1"/>
      <c r="AA3" s="1"/>
      <c r="AB3" s="1"/>
      <c r="AC3" s="1"/>
    </row>
    <row r="4" spans="1:29" ht="26.25" customHeight="1" x14ac:dyDescent="0.2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1"/>
      <c r="AA4" s="1">
        <f>35*52.2</f>
        <v>1827</v>
      </c>
      <c r="AB4" s="1" t="s">
        <v>1</v>
      </c>
      <c r="AC4" s="1"/>
    </row>
    <row r="5" spans="1:29" x14ac:dyDescent="0.25">
      <c r="A5" s="2"/>
      <c r="Z5" s="1"/>
      <c r="AA5" s="1">
        <v>24</v>
      </c>
      <c r="AB5" s="1" t="s">
        <v>2</v>
      </c>
      <c r="AC5" s="1"/>
    </row>
    <row r="6" spans="1:29" ht="26.25" x14ac:dyDescent="0.4">
      <c r="A6" s="2"/>
      <c r="B6" s="2"/>
      <c r="C6" s="2"/>
      <c r="D6" s="3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  <c r="R6" s="5"/>
      <c r="S6" s="6"/>
      <c r="T6" s="6"/>
      <c r="U6" s="7"/>
      <c r="V6" s="201" t="s">
        <v>3</v>
      </c>
      <c r="W6" s="201"/>
      <c r="X6" s="8"/>
      <c r="Y6" s="9"/>
      <c r="Z6" s="1"/>
      <c r="AA6" s="10">
        <f>AA4*AA5</f>
        <v>43848</v>
      </c>
      <c r="AB6" s="1" t="s">
        <v>4</v>
      </c>
      <c r="AC6" s="1"/>
    </row>
    <row r="7" spans="1:29" x14ac:dyDescent="0.25">
      <c r="A7" s="2"/>
      <c r="B7" s="2"/>
      <c r="C7" s="2"/>
      <c r="D7" s="3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  <c r="R7" s="5"/>
      <c r="S7" s="6"/>
      <c r="T7" s="6"/>
      <c r="U7" s="7"/>
      <c r="V7" s="7"/>
      <c r="W7" s="7"/>
      <c r="X7" s="8"/>
      <c r="Y7" s="9"/>
      <c r="Z7" s="1"/>
      <c r="AA7" s="1"/>
      <c r="AB7" s="1"/>
      <c r="AC7" s="1"/>
    </row>
    <row r="8" spans="1:29" x14ac:dyDescent="0.25">
      <c r="A8" s="202" t="s">
        <v>5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1"/>
      <c r="AA8" s="1"/>
      <c r="AB8" s="1"/>
      <c r="AC8" s="1"/>
    </row>
    <row r="9" spans="1:29" x14ac:dyDescent="0.25">
      <c r="A9" s="202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1"/>
      <c r="AA9" s="1"/>
      <c r="AB9" s="1"/>
      <c r="AC9" s="1"/>
    </row>
    <row r="10" spans="1:29" x14ac:dyDescent="0.25">
      <c r="A10" s="11"/>
      <c r="B10" s="12"/>
      <c r="C10" s="12"/>
      <c r="Q10" t="s">
        <v>6</v>
      </c>
      <c r="S10" s="13"/>
      <c r="T10" s="13"/>
      <c r="Y10" s="12"/>
      <c r="Z10" s="1"/>
      <c r="AA10" s="1"/>
      <c r="AB10" s="1"/>
      <c r="AC10" s="1"/>
    </row>
    <row r="11" spans="1:29" x14ac:dyDescent="0.25">
      <c r="A11" s="12"/>
      <c r="B11" s="12"/>
      <c r="C11" s="12"/>
      <c r="S11" s="13"/>
      <c r="T11" s="13"/>
      <c r="Y11" s="12"/>
      <c r="Z11" s="1"/>
      <c r="AA11" s="1"/>
      <c r="AB11" s="1"/>
      <c r="AC11" s="1"/>
    </row>
    <row r="12" spans="1:29" ht="15.75" customHeight="1" x14ac:dyDescent="0.25">
      <c r="A12" s="203" t="s">
        <v>7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1"/>
      <c r="AA12" s="1"/>
      <c r="AB12" s="1"/>
      <c r="AC12" s="1"/>
    </row>
    <row r="13" spans="1:29" ht="15" customHeight="1" x14ac:dyDescent="0.25">
      <c r="A13" s="203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1"/>
      <c r="AA13" s="1"/>
      <c r="AB13" s="1"/>
      <c r="AC13" s="1"/>
    </row>
    <row r="14" spans="1:29" ht="15.75" customHeight="1" x14ac:dyDescent="0.25">
      <c r="A14" s="203"/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1"/>
      <c r="AA14" s="1"/>
      <c r="AB14" s="1"/>
      <c r="AC14" s="1"/>
    </row>
    <row r="15" spans="1:29" x14ac:dyDescent="0.2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6"/>
      <c r="T15" s="17"/>
      <c r="U15" s="18"/>
      <c r="V15" s="18"/>
      <c r="W15" s="18"/>
      <c r="X15" s="18"/>
      <c r="Y15" s="19"/>
      <c r="Z15" s="1"/>
      <c r="AA15" s="1"/>
      <c r="AB15" s="1"/>
      <c r="AC15" s="1"/>
    </row>
    <row r="16" spans="1:29" ht="15" customHeight="1" x14ac:dyDescent="0.25">
      <c r="A16" s="20"/>
      <c r="B16" s="204" t="s">
        <v>8</v>
      </c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1"/>
      <c r="T16" s="205"/>
      <c r="U16" s="206" t="s">
        <v>9</v>
      </c>
      <c r="V16" s="206"/>
      <c r="W16" s="207">
        <f>N21</f>
        <v>5875632</v>
      </c>
      <c r="X16" s="207"/>
      <c r="Y16" s="207"/>
      <c r="Z16" s="1"/>
      <c r="AA16" s="1"/>
      <c r="AB16" s="1"/>
      <c r="AC16" s="1"/>
    </row>
    <row r="17" spans="1:29" ht="1.5" customHeight="1" x14ac:dyDescent="0.25">
      <c r="A17" s="20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1"/>
      <c r="T17" s="205"/>
      <c r="U17" s="206"/>
      <c r="V17" s="206"/>
      <c r="W17" s="207"/>
      <c r="X17" s="207"/>
      <c r="Y17" s="207"/>
      <c r="Z17" s="1"/>
      <c r="AA17" s="1"/>
      <c r="AB17" s="1"/>
      <c r="AC17" s="1"/>
    </row>
    <row r="18" spans="1:29" ht="15" customHeight="1" x14ac:dyDescent="0.25">
      <c r="A18" s="20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1"/>
      <c r="T18" s="205"/>
      <c r="U18" s="206"/>
      <c r="V18" s="206"/>
      <c r="W18" s="207"/>
      <c r="X18" s="207"/>
      <c r="Y18" s="207"/>
      <c r="Z18" s="1"/>
      <c r="AA18" s="1"/>
      <c r="AB18" s="1"/>
      <c r="AC18" s="1"/>
    </row>
    <row r="19" spans="1:29" ht="15" customHeight="1" x14ac:dyDescent="0.25">
      <c r="A19" s="20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1"/>
      <c r="T19" s="205"/>
      <c r="U19" s="206"/>
      <c r="V19" s="206"/>
      <c r="W19" s="207"/>
      <c r="X19" s="207"/>
      <c r="Y19" s="207"/>
      <c r="Z19" s="1"/>
      <c r="AA19" s="1"/>
      <c r="AB19" s="1"/>
      <c r="AC19" s="1"/>
    </row>
    <row r="20" spans="1:29" ht="63.75" customHeight="1" x14ac:dyDescent="0.25">
      <c r="A20" s="208" t="s">
        <v>10</v>
      </c>
      <c r="B20" s="208"/>
      <c r="C20" s="22" t="s">
        <v>11</v>
      </c>
      <c r="D20" s="23" t="s">
        <v>12</v>
      </c>
      <c r="E20" s="209" t="s">
        <v>13</v>
      </c>
      <c r="F20" s="209"/>
      <c r="G20" s="209"/>
      <c r="H20" s="209"/>
      <c r="I20" s="209"/>
      <c r="J20" s="209" t="s">
        <v>14</v>
      </c>
      <c r="K20" s="209"/>
      <c r="L20" s="209"/>
      <c r="M20" s="209"/>
      <c r="N20" s="210" t="s">
        <v>15</v>
      </c>
      <c r="O20" s="210"/>
      <c r="P20" s="210"/>
      <c r="Q20" s="210"/>
      <c r="R20" s="210"/>
      <c r="S20" s="21"/>
      <c r="T20" s="205"/>
      <c r="U20" s="206"/>
      <c r="V20" s="206"/>
      <c r="W20" s="207"/>
      <c r="X20" s="207"/>
      <c r="Y20" s="207"/>
      <c r="Z20" s="1"/>
      <c r="AA20" s="1"/>
      <c r="AB20" s="1"/>
      <c r="AC20" s="1"/>
    </row>
    <row r="21" spans="1:29" ht="30" customHeight="1" x14ac:dyDescent="0.25">
      <c r="A21" s="211">
        <f>24*35*52.2</f>
        <v>43848</v>
      </c>
      <c r="B21" s="211"/>
      <c r="C21" s="24">
        <v>16.75</v>
      </c>
      <c r="D21" s="24">
        <v>5</v>
      </c>
      <c r="E21" s="212">
        <f>A21*C21</f>
        <v>734454</v>
      </c>
      <c r="F21" s="212"/>
      <c r="G21" s="212"/>
      <c r="H21" s="212"/>
      <c r="I21" s="212"/>
      <c r="J21" s="213">
        <f>E21*8</f>
        <v>5875632</v>
      </c>
      <c r="K21" s="213"/>
      <c r="L21" s="213"/>
      <c r="M21" s="213"/>
      <c r="N21" s="214">
        <f>J21</f>
        <v>5875632</v>
      </c>
      <c r="O21" s="214"/>
      <c r="P21" s="214"/>
      <c r="Q21" s="214"/>
      <c r="R21" s="214"/>
      <c r="S21" s="21"/>
      <c r="T21" s="205"/>
      <c r="U21" s="206"/>
      <c r="V21" s="206"/>
      <c r="W21" s="207"/>
      <c r="X21" s="207"/>
      <c r="Y21" s="207"/>
      <c r="Z21" s="1"/>
      <c r="AA21" s="25" t="e">
        <f>#REF!*8</f>
        <v>#REF!</v>
      </c>
      <c r="AB21" s="1">
        <f>16.75</f>
        <v>16.75</v>
      </c>
      <c r="AC21" s="1"/>
    </row>
    <row r="22" spans="1:29" ht="15" customHeight="1" x14ac:dyDescent="0.25">
      <c r="A22" s="26"/>
      <c r="B22" s="27"/>
      <c r="C22" s="27"/>
      <c r="D22" s="27"/>
      <c r="E22" s="27"/>
      <c r="F22" s="27"/>
      <c r="G22" s="27"/>
      <c r="H22" s="27"/>
      <c r="I22" s="28"/>
      <c r="J22" s="29"/>
      <c r="K22" s="29"/>
      <c r="L22" s="29"/>
      <c r="M22" s="29"/>
      <c r="N22" s="30"/>
      <c r="O22" s="30"/>
      <c r="P22" s="30"/>
      <c r="Q22" s="30"/>
      <c r="R22" s="31"/>
      <c r="S22" s="31"/>
      <c r="T22" s="32"/>
      <c r="U22" s="33"/>
      <c r="V22" s="33"/>
      <c r="W22" s="33"/>
      <c r="X22" s="33"/>
      <c r="Y22" s="34"/>
      <c r="Z22" s="1"/>
      <c r="AA22" s="1"/>
      <c r="AB22" s="25" t="e">
        <f>AA21*16.75</f>
        <v>#REF!</v>
      </c>
      <c r="AC22" s="1"/>
    </row>
    <row r="23" spans="1:29" ht="15" customHeight="1" x14ac:dyDescent="0.25">
      <c r="A23" s="35"/>
      <c r="B23" s="36"/>
      <c r="C23" s="36"/>
      <c r="D23" s="36"/>
      <c r="E23" s="36"/>
      <c r="F23" s="36"/>
      <c r="G23" s="36"/>
      <c r="H23" s="36"/>
      <c r="I23" s="37"/>
      <c r="J23" s="38"/>
      <c r="K23" s="38"/>
      <c r="L23" s="38"/>
      <c r="M23" s="38"/>
      <c r="N23" s="38"/>
      <c r="O23" s="38"/>
      <c r="P23" s="38"/>
      <c r="Q23" s="38"/>
      <c r="R23" s="39"/>
      <c r="S23" s="39"/>
      <c r="T23" s="205"/>
      <c r="U23" s="215" t="s">
        <v>16</v>
      </c>
      <c r="V23" s="215"/>
      <c r="W23" s="216">
        <f>X33+X35+X36+X37+X38+X40+X43+X44+X46</f>
        <v>3285122.3450937709</v>
      </c>
      <c r="X23" s="216"/>
      <c r="Y23" s="216"/>
      <c r="Z23" s="1"/>
      <c r="AA23" s="1"/>
      <c r="AB23" s="1"/>
      <c r="AC23" s="1"/>
    </row>
    <row r="24" spans="1:29" ht="15" customHeight="1" x14ac:dyDescent="0.25">
      <c r="A24" s="40"/>
      <c r="B24" s="217" t="s">
        <v>17</v>
      </c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41"/>
      <c r="T24" s="205"/>
      <c r="U24" s="215"/>
      <c r="V24" s="215"/>
      <c r="W24" s="216"/>
      <c r="X24" s="216"/>
      <c r="Y24" s="216"/>
      <c r="Z24" s="1"/>
      <c r="AA24" s="1"/>
      <c r="AB24" s="1"/>
      <c r="AC24" s="1"/>
    </row>
    <row r="25" spans="1:29" ht="15" customHeight="1" x14ac:dyDescent="0.25">
      <c r="A25" s="40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41"/>
      <c r="T25" s="205"/>
      <c r="U25" s="215"/>
      <c r="V25" s="215"/>
      <c r="W25" s="216"/>
      <c r="X25" s="216"/>
      <c r="Y25" s="216"/>
      <c r="Z25" s="1"/>
      <c r="AA25" s="1"/>
      <c r="AB25" s="1"/>
      <c r="AC25" s="1"/>
    </row>
    <row r="26" spans="1:29" ht="15" customHeight="1" x14ac:dyDescent="0.25">
      <c r="A26" s="40"/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42"/>
      <c r="T26" s="205"/>
      <c r="U26" s="215"/>
      <c r="V26" s="215"/>
      <c r="W26" s="216"/>
      <c r="X26" s="216"/>
      <c r="Y26" s="216"/>
      <c r="Z26" s="1"/>
      <c r="AA26" s="1"/>
      <c r="AB26" s="1"/>
      <c r="AC26" s="1"/>
    </row>
    <row r="27" spans="1:29" ht="15" customHeight="1" x14ac:dyDescent="0.25">
      <c r="A27" s="40"/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42"/>
      <c r="T27" s="205"/>
      <c r="U27" s="215"/>
      <c r="V27" s="215"/>
      <c r="W27" s="216"/>
      <c r="X27" s="216"/>
      <c r="Y27" s="216"/>
      <c r="Z27" s="1"/>
      <c r="AA27" s="1"/>
      <c r="AB27" s="1"/>
      <c r="AC27" s="1"/>
    </row>
    <row r="28" spans="1:29" ht="15" customHeight="1" x14ac:dyDescent="0.25">
      <c r="A28" s="43"/>
      <c r="B28" s="44"/>
      <c r="C28" s="44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6"/>
      <c r="S28" s="47"/>
      <c r="T28" s="205"/>
      <c r="U28" s="215"/>
      <c r="V28" s="215"/>
      <c r="W28" s="216"/>
      <c r="X28" s="216"/>
      <c r="Y28" s="216"/>
    </row>
    <row r="29" spans="1:29" x14ac:dyDescent="0.25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50"/>
      <c r="S29" s="51"/>
      <c r="AA29" s="1"/>
      <c r="AB29" s="1"/>
    </row>
    <row r="30" spans="1:29" ht="15" customHeight="1" x14ac:dyDescent="0.25">
      <c r="A30" s="218" t="s">
        <v>18</v>
      </c>
      <c r="B30" s="218"/>
      <c r="C30" s="219" t="s">
        <v>19</v>
      </c>
      <c r="D30" s="220" t="s">
        <v>20</v>
      </c>
      <c r="E30" s="221" t="s">
        <v>21</v>
      </c>
      <c r="F30" s="222" t="s">
        <v>22</v>
      </c>
      <c r="G30" s="222"/>
      <c r="H30" s="222"/>
      <c r="I30" s="223" t="s">
        <v>23</v>
      </c>
      <c r="J30" s="223"/>
      <c r="K30" s="224" t="s">
        <v>24</v>
      </c>
      <c r="L30" s="224"/>
      <c r="M30" s="224"/>
      <c r="N30" s="224"/>
      <c r="O30" s="224"/>
      <c r="P30" s="224"/>
      <c r="Q30" s="224"/>
      <c r="R30" s="225" t="s">
        <v>25</v>
      </c>
      <c r="S30" s="226"/>
      <c r="T30" s="227" t="s">
        <v>26</v>
      </c>
      <c r="U30" s="227"/>
      <c r="V30" s="227"/>
      <c r="W30" s="227"/>
      <c r="X30" s="227"/>
      <c r="Y30" s="227"/>
      <c r="AA30" s="1"/>
      <c r="AB30" s="1"/>
    </row>
    <row r="31" spans="1:29" ht="33.75" customHeight="1" x14ac:dyDescent="0.25">
      <c r="A31" s="218"/>
      <c r="B31" s="218"/>
      <c r="C31" s="219"/>
      <c r="D31" s="220"/>
      <c r="E31" s="221"/>
      <c r="F31" s="222"/>
      <c r="G31" s="222"/>
      <c r="H31" s="222"/>
      <c r="I31" s="223"/>
      <c r="J31" s="223"/>
      <c r="K31" s="224"/>
      <c r="L31" s="224"/>
      <c r="M31" s="224"/>
      <c r="N31" s="224"/>
      <c r="O31" s="224"/>
      <c r="P31" s="224"/>
      <c r="Q31" s="224"/>
      <c r="R31" s="225"/>
      <c r="S31" s="226"/>
      <c r="T31" s="227"/>
      <c r="U31" s="227"/>
      <c r="V31" s="227"/>
      <c r="W31" s="227"/>
      <c r="X31" s="227"/>
      <c r="Y31" s="227"/>
      <c r="AA31" s="1"/>
      <c r="AB31" s="1"/>
    </row>
    <row r="32" spans="1:29" ht="131.25" customHeight="1" x14ac:dyDescent="0.25">
      <c r="A32" s="218"/>
      <c r="B32" s="218"/>
      <c r="C32" s="219"/>
      <c r="D32" s="220"/>
      <c r="E32" s="221"/>
      <c r="F32" s="52" t="s">
        <v>27</v>
      </c>
      <c r="G32" s="228" t="s">
        <v>28</v>
      </c>
      <c r="H32" s="228"/>
      <c r="I32" s="223"/>
      <c r="J32" s="223"/>
      <c r="K32" s="224"/>
      <c r="L32" s="224"/>
      <c r="M32" s="224"/>
      <c r="N32" s="224"/>
      <c r="O32" s="224"/>
      <c r="P32" s="224"/>
      <c r="Q32" s="224"/>
      <c r="R32" s="53">
        <v>96</v>
      </c>
      <c r="S32" s="226"/>
      <c r="T32" s="227"/>
      <c r="U32" s="227"/>
      <c r="V32" s="227"/>
      <c r="W32" s="227"/>
      <c r="X32" s="227"/>
      <c r="Y32" s="227"/>
      <c r="AA32" s="1"/>
      <c r="AB32" s="1"/>
    </row>
    <row r="33" spans="1:28" ht="52.5" customHeight="1" x14ac:dyDescent="0.25">
      <c r="A33" s="229" t="s">
        <v>29</v>
      </c>
      <c r="B33" s="229"/>
      <c r="C33" s="230" t="s">
        <v>30</v>
      </c>
      <c r="D33" s="231">
        <v>750</v>
      </c>
      <c r="E33" s="232">
        <f>D33*10*7*52.2*8</f>
        <v>21924000</v>
      </c>
      <c r="F33" s="233">
        <v>0.32</v>
      </c>
      <c r="G33" s="234">
        <f>E33*F33</f>
        <v>7015680</v>
      </c>
      <c r="H33" s="234"/>
      <c r="I33" s="235">
        <f>1.2/122%</f>
        <v>0.98360655737704916</v>
      </c>
      <c r="J33" s="235"/>
      <c r="K33" s="236">
        <f>G33*I33</f>
        <v>6900668.8524590163</v>
      </c>
      <c r="L33" s="236"/>
      <c r="M33" s="236"/>
      <c r="N33" s="236"/>
      <c r="O33" s="236"/>
      <c r="P33" s="236"/>
      <c r="Q33" s="236"/>
      <c r="R33" s="237">
        <f>K33/$R$32</f>
        <v>71881.967213114753</v>
      </c>
      <c r="S33" s="57"/>
      <c r="T33" s="238" t="s">
        <v>31</v>
      </c>
      <c r="U33" s="238"/>
      <c r="V33" s="239">
        <f>X33/W33</f>
        <v>2.8227915823102467E-3</v>
      </c>
      <c r="W33" s="240">
        <f t="shared" ref="W33:W40" si="0">$K$45</f>
        <v>11770617.50085246</v>
      </c>
      <c r="X33" s="241">
        <f>26431.83+6794.17</f>
        <v>33226</v>
      </c>
      <c r="Y33" s="241"/>
      <c r="AA33" s="60"/>
      <c r="AB33" s="1"/>
    </row>
    <row r="34" spans="1:28" ht="31.5" customHeight="1" x14ac:dyDescent="0.25">
      <c r="A34" s="229"/>
      <c r="B34" s="229"/>
      <c r="C34" s="230"/>
      <c r="D34" s="231"/>
      <c r="E34" s="232"/>
      <c r="F34" s="233"/>
      <c r="G34" s="234"/>
      <c r="H34" s="234"/>
      <c r="I34" s="235"/>
      <c r="J34" s="235"/>
      <c r="K34" s="236"/>
      <c r="L34" s="236"/>
      <c r="M34" s="236"/>
      <c r="N34" s="236"/>
      <c r="O34" s="236"/>
      <c r="P34" s="236"/>
      <c r="Q34" s="236"/>
      <c r="R34" s="237"/>
      <c r="S34" s="57"/>
      <c r="T34" s="238"/>
      <c r="U34" s="238"/>
      <c r="V34" s="239"/>
      <c r="W34" s="240"/>
      <c r="X34" s="241"/>
      <c r="Y34" s="241"/>
      <c r="AA34" s="1"/>
      <c r="AB34" s="1"/>
    </row>
    <row r="35" spans="1:28" ht="60" customHeight="1" x14ac:dyDescent="0.55000000000000004">
      <c r="A35" s="229" t="s">
        <v>32</v>
      </c>
      <c r="B35" s="229"/>
      <c r="C35" s="230" t="s">
        <v>30</v>
      </c>
      <c r="D35" s="242">
        <v>478</v>
      </c>
      <c r="E35" s="232">
        <f>D35*10*7*52.2*8</f>
        <v>13972896</v>
      </c>
      <c r="F35" s="243">
        <v>0.38</v>
      </c>
      <c r="G35" s="244">
        <f>E35*F35</f>
        <v>5309700.4800000004</v>
      </c>
      <c r="H35" s="244"/>
      <c r="I35" s="235">
        <f>0.6/122%</f>
        <v>0.49180327868852458</v>
      </c>
      <c r="J35" s="235"/>
      <c r="K35" s="236">
        <f>G35*I35</f>
        <v>2611328.1049180329</v>
      </c>
      <c r="L35" s="236"/>
      <c r="M35" s="236"/>
      <c r="N35" s="236"/>
      <c r="O35" s="236"/>
      <c r="P35" s="236"/>
      <c r="Q35" s="236"/>
      <c r="R35" s="237">
        <f>K35/$R$32</f>
        <v>27201.33442622951</v>
      </c>
      <c r="S35" s="57"/>
      <c r="T35" s="238" t="s">
        <v>31</v>
      </c>
      <c r="U35" s="238"/>
      <c r="V35" s="58">
        <f t="shared" ref="V35:V40" si="1">X35/W35</f>
        <v>2.469999555919171E-3</v>
      </c>
      <c r="W35" s="59">
        <f t="shared" si="0"/>
        <v>11770617.50085246</v>
      </c>
      <c r="X35" s="241">
        <v>29073.42</v>
      </c>
      <c r="Y35" s="241"/>
      <c r="Z35" s="62"/>
      <c r="AA35" s="1"/>
      <c r="AB35" s="1"/>
    </row>
    <row r="36" spans="1:28" ht="54" customHeight="1" x14ac:dyDescent="0.55000000000000004">
      <c r="A36" s="229"/>
      <c r="B36" s="229"/>
      <c r="C36" s="230"/>
      <c r="D36" s="242"/>
      <c r="E36" s="232"/>
      <c r="F36" s="243"/>
      <c r="G36" s="244"/>
      <c r="H36" s="244"/>
      <c r="I36" s="235"/>
      <c r="J36" s="235"/>
      <c r="K36" s="236"/>
      <c r="L36" s="236"/>
      <c r="M36" s="236"/>
      <c r="N36" s="236"/>
      <c r="O36" s="236"/>
      <c r="P36" s="236"/>
      <c r="Q36" s="236"/>
      <c r="R36" s="237"/>
      <c r="S36" s="57"/>
      <c r="T36" s="245" t="s">
        <v>33</v>
      </c>
      <c r="U36" s="245"/>
      <c r="V36" s="58">
        <f t="shared" si="1"/>
        <v>3.9619841522012388E-2</v>
      </c>
      <c r="W36" s="59">
        <f t="shared" si="0"/>
        <v>11770617.50085246</v>
      </c>
      <c r="X36" s="241">
        <v>466350</v>
      </c>
      <c r="Y36" s="241"/>
      <c r="Z36" s="63"/>
      <c r="AA36" s="1"/>
      <c r="AB36" s="1"/>
    </row>
    <row r="37" spans="1:28" ht="174" customHeight="1" x14ac:dyDescent="0.55000000000000004">
      <c r="A37" s="246" t="s">
        <v>34</v>
      </c>
      <c r="B37" s="246"/>
      <c r="C37" s="64" t="s">
        <v>35</v>
      </c>
      <c r="D37" s="54">
        <v>319</v>
      </c>
      <c r="E37" s="55">
        <f>(D37*5*7*13.05*8)+(D37*5*3*39.15*8)</f>
        <v>2664288</v>
      </c>
      <c r="F37" s="61">
        <v>0.3</v>
      </c>
      <c r="G37" s="234">
        <f>E37*F37</f>
        <v>799286.4</v>
      </c>
      <c r="H37" s="234"/>
      <c r="I37" s="247">
        <f>1.2/122%</f>
        <v>0.98360655737704916</v>
      </c>
      <c r="J37" s="247"/>
      <c r="K37" s="236">
        <f>G37*I37</f>
        <v>786183.34426229505</v>
      </c>
      <c r="L37" s="236"/>
      <c r="M37" s="236"/>
      <c r="N37" s="236"/>
      <c r="O37" s="236"/>
      <c r="P37" s="236"/>
      <c r="Q37" s="236"/>
      <c r="R37" s="56">
        <f>K37/$R$32</f>
        <v>8189.4098360655735</v>
      </c>
      <c r="S37" s="57"/>
      <c r="T37" s="245" t="s">
        <v>36</v>
      </c>
      <c r="U37" s="245"/>
      <c r="V37" s="58">
        <f t="shared" si="1"/>
        <v>5.331963254727691E-2</v>
      </c>
      <c r="W37" s="59">
        <f t="shared" si="0"/>
        <v>11770617.50085246</v>
      </c>
      <c r="X37" s="241">
        <v>627605</v>
      </c>
      <c r="Y37" s="241"/>
      <c r="Z37" s="63"/>
      <c r="AA37" s="1"/>
      <c r="AB37" s="1"/>
    </row>
    <row r="38" spans="1:28" ht="171.75" customHeight="1" x14ac:dyDescent="0.55000000000000004">
      <c r="A38" s="246" t="s">
        <v>37</v>
      </c>
      <c r="B38" s="246"/>
      <c r="C38" s="65" t="s">
        <v>38</v>
      </c>
      <c r="D38" s="66">
        <v>27</v>
      </c>
      <c r="E38" s="55">
        <f>(D38*5*7*13.05*8)+(D38*5*3*39.15*8)</f>
        <v>225504</v>
      </c>
      <c r="F38" s="61">
        <v>0.2</v>
      </c>
      <c r="G38" s="234">
        <f>E38*F38</f>
        <v>45100.800000000003</v>
      </c>
      <c r="H38" s="234"/>
      <c r="I38" s="247">
        <f>1.2/122%</f>
        <v>0.98360655737704916</v>
      </c>
      <c r="J38" s="247"/>
      <c r="K38" s="236">
        <f>G38*I38</f>
        <v>44361.442622950824</v>
      </c>
      <c r="L38" s="236"/>
      <c r="M38" s="236"/>
      <c r="N38" s="236"/>
      <c r="O38" s="236"/>
      <c r="P38" s="236"/>
      <c r="Q38" s="236"/>
      <c r="R38" s="56">
        <f>K38/$R$32</f>
        <v>462.09836065573774</v>
      </c>
      <c r="S38" s="57"/>
      <c r="T38" s="248" t="s">
        <v>39</v>
      </c>
      <c r="U38" s="248"/>
      <c r="V38" s="58">
        <f t="shared" si="1"/>
        <v>9.0211919631497488E-3</v>
      </c>
      <c r="W38" s="59">
        <f t="shared" si="0"/>
        <v>11770617.50085246</v>
      </c>
      <c r="X38" s="241">
        <v>106185</v>
      </c>
      <c r="Y38" s="241"/>
      <c r="Z38" s="63"/>
      <c r="AA38" s="1"/>
      <c r="AB38" s="1"/>
    </row>
    <row r="39" spans="1:28" ht="94.5" customHeight="1" x14ac:dyDescent="0.25">
      <c r="A39" s="229" t="s">
        <v>40</v>
      </c>
      <c r="B39" s="229"/>
      <c r="C39" s="67" t="s">
        <v>41</v>
      </c>
      <c r="D39" s="54">
        <v>189</v>
      </c>
      <c r="E39" s="55">
        <f>(D39*10*7*13.05*8)</f>
        <v>1381212</v>
      </c>
      <c r="F39" s="61">
        <v>0.6</v>
      </c>
      <c r="G39" s="234">
        <f>E39*F39</f>
        <v>828727.2</v>
      </c>
      <c r="H39" s="234"/>
      <c r="I39" s="247">
        <f>(5/10)/122%</f>
        <v>0.4098360655737705</v>
      </c>
      <c r="J39" s="247"/>
      <c r="K39" s="236">
        <f>G39*I39</f>
        <v>339642.2950819672</v>
      </c>
      <c r="L39" s="236"/>
      <c r="M39" s="236"/>
      <c r="N39" s="236"/>
      <c r="O39" s="236"/>
      <c r="P39" s="236"/>
      <c r="Q39" s="236"/>
      <c r="R39" s="56">
        <f>K39/$R$32</f>
        <v>3537.9405737704915</v>
      </c>
      <c r="S39" s="57"/>
      <c r="T39" s="245" t="s">
        <v>42</v>
      </c>
      <c r="U39" s="245"/>
      <c r="V39" s="58">
        <f t="shared" si="1"/>
        <v>0.49917788931417328</v>
      </c>
      <c r="W39" s="59">
        <f t="shared" si="0"/>
        <v>11770617.50085246</v>
      </c>
      <c r="X39" s="249">
        <f>W16</f>
        <v>5875632</v>
      </c>
      <c r="Y39" s="249"/>
      <c r="AA39" s="1"/>
      <c r="AB39" s="1"/>
    </row>
    <row r="40" spans="1:28" ht="26.25" customHeight="1" x14ac:dyDescent="0.55000000000000004">
      <c r="A40" s="250" t="s">
        <v>43</v>
      </c>
      <c r="B40" s="250"/>
      <c r="C40" s="250" t="s">
        <v>44</v>
      </c>
      <c r="D40" s="251">
        <v>38</v>
      </c>
      <c r="E40" s="252">
        <f>D40*10*5*52.2*8</f>
        <v>793440</v>
      </c>
      <c r="F40" s="253">
        <v>0.2</v>
      </c>
      <c r="G40" s="254">
        <f>E40*F40</f>
        <v>158688</v>
      </c>
      <c r="H40" s="254"/>
      <c r="I40" s="255">
        <f>4.8/122%</f>
        <v>3.9344262295081966</v>
      </c>
      <c r="J40" s="255"/>
      <c r="K40" s="256">
        <f>G40*I40</f>
        <v>624346.2295081967</v>
      </c>
      <c r="L40" s="256"/>
      <c r="M40" s="256"/>
      <c r="N40" s="256"/>
      <c r="O40" s="256"/>
      <c r="P40" s="256"/>
      <c r="Q40" s="256"/>
      <c r="R40" s="237">
        <f>K40/R32</f>
        <v>6503.6065573770493</v>
      </c>
      <c r="S40" s="57"/>
      <c r="T40" s="257" t="s">
        <v>45</v>
      </c>
      <c r="U40" s="257"/>
      <c r="V40" s="239">
        <f t="shared" si="1"/>
        <v>5.4115682542047482E-2</v>
      </c>
      <c r="W40" s="258">
        <f t="shared" si="0"/>
        <v>11770617.50085246</v>
      </c>
      <c r="X40" s="259">
        <v>636975</v>
      </c>
      <c r="Y40" s="259"/>
      <c r="Z40" s="62"/>
      <c r="AA40" s="1"/>
      <c r="AB40" s="1"/>
    </row>
    <row r="41" spans="1:28" ht="66" customHeight="1" x14ac:dyDescent="0.25">
      <c r="A41" s="250"/>
      <c r="B41" s="250"/>
      <c r="C41" s="250"/>
      <c r="D41" s="251"/>
      <c r="E41" s="252"/>
      <c r="F41" s="253"/>
      <c r="G41" s="254"/>
      <c r="H41" s="254"/>
      <c r="I41" s="255"/>
      <c r="J41" s="255"/>
      <c r="K41" s="256"/>
      <c r="L41" s="256"/>
      <c r="M41" s="256"/>
      <c r="N41" s="256"/>
      <c r="O41" s="256"/>
      <c r="P41" s="256"/>
      <c r="Q41" s="256"/>
      <c r="R41" s="237"/>
      <c r="S41" s="57"/>
      <c r="T41" s="257"/>
      <c r="U41" s="257"/>
      <c r="V41" s="239"/>
      <c r="W41" s="258"/>
      <c r="X41" s="259"/>
      <c r="Y41" s="259"/>
      <c r="AA41" s="1"/>
      <c r="AB41" s="1"/>
    </row>
    <row r="42" spans="1:28" ht="54" customHeight="1" x14ac:dyDescent="0.25">
      <c r="A42" s="250"/>
      <c r="B42" s="250"/>
      <c r="C42" s="250"/>
      <c r="D42" s="251"/>
      <c r="E42" s="252"/>
      <c r="F42" s="253"/>
      <c r="G42" s="254"/>
      <c r="H42" s="254"/>
      <c r="I42" s="255"/>
      <c r="J42" s="255"/>
      <c r="K42" s="256"/>
      <c r="L42" s="256"/>
      <c r="M42" s="256"/>
      <c r="N42" s="256"/>
      <c r="O42" s="256"/>
      <c r="P42" s="256"/>
      <c r="Q42" s="256"/>
      <c r="R42" s="237"/>
      <c r="S42" s="57"/>
      <c r="T42" s="260" t="s">
        <v>46</v>
      </c>
      <c r="U42" s="260"/>
      <c r="V42" s="239"/>
      <c r="W42" s="258"/>
      <c r="X42" s="259"/>
      <c r="Y42" s="259"/>
      <c r="AA42" s="68"/>
      <c r="AB42" s="1"/>
    </row>
    <row r="43" spans="1:28" s="73" customFormat="1" ht="45.75" customHeight="1" x14ac:dyDescent="0.25">
      <c r="A43" s="261" t="s">
        <v>47</v>
      </c>
      <c r="B43" s="261"/>
      <c r="C43" s="261" t="s">
        <v>48</v>
      </c>
      <c r="D43" s="69" t="s">
        <v>49</v>
      </c>
      <c r="E43" s="262">
        <f>D44*24*7*52.2*8</f>
        <v>10523520</v>
      </c>
      <c r="F43" s="263">
        <v>0.18</v>
      </c>
      <c r="G43" s="264">
        <f>E43*F43</f>
        <v>1894233.5999999999</v>
      </c>
      <c r="H43" s="264"/>
      <c r="I43" s="265">
        <v>0.245</v>
      </c>
      <c r="J43" s="265"/>
      <c r="K43" s="266">
        <f>G43*I43</f>
        <v>464087.23199999996</v>
      </c>
      <c r="L43" s="266"/>
      <c r="M43" s="266"/>
      <c r="N43" s="266"/>
      <c r="O43" s="266"/>
      <c r="P43" s="266"/>
      <c r="Q43" s="266"/>
      <c r="R43" s="267">
        <f>K43/R32</f>
        <v>4834.2419999999993</v>
      </c>
      <c r="S43" s="70"/>
      <c r="T43" s="268" t="s">
        <v>50</v>
      </c>
      <c r="U43" s="268"/>
      <c r="V43" s="71">
        <f>X43/W43</f>
        <v>9.3453041008284825E-4</v>
      </c>
      <c r="W43" s="72">
        <f>$K$45</f>
        <v>11770617.50085246</v>
      </c>
      <c r="X43" s="269">
        <v>11000</v>
      </c>
      <c r="Y43" s="269"/>
      <c r="AA43" s="74"/>
      <c r="AB43" s="74"/>
    </row>
    <row r="44" spans="1:28" s="73" customFormat="1" ht="33.75" customHeight="1" x14ac:dyDescent="0.25">
      <c r="A44" s="261"/>
      <c r="B44" s="261"/>
      <c r="C44" s="261"/>
      <c r="D44" s="75">
        <v>150</v>
      </c>
      <c r="E44" s="262"/>
      <c r="F44" s="263"/>
      <c r="G44" s="264"/>
      <c r="H44" s="264"/>
      <c r="I44" s="265"/>
      <c r="J44" s="265"/>
      <c r="K44" s="266"/>
      <c r="L44" s="266"/>
      <c r="M44" s="266"/>
      <c r="N44" s="266"/>
      <c r="O44" s="266"/>
      <c r="P44" s="266"/>
      <c r="Q44" s="266"/>
      <c r="R44" s="267"/>
      <c r="S44" s="76"/>
      <c r="T44" s="270" t="s">
        <v>51</v>
      </c>
      <c r="U44" s="270"/>
      <c r="V44" s="271">
        <f>X44/W44</f>
        <v>6.7914873620020808E-3</v>
      </c>
      <c r="W44" s="272">
        <f>$K$45</f>
        <v>11770617.50085246</v>
      </c>
      <c r="X44" s="273">
        <v>79940</v>
      </c>
      <c r="Y44" s="273"/>
      <c r="AA44" s="74"/>
      <c r="AB44" s="74"/>
    </row>
    <row r="45" spans="1:28" s="73" customFormat="1" ht="33.75" customHeight="1" x14ac:dyDescent="0.25">
      <c r="A45" s="261"/>
      <c r="B45" s="261"/>
      <c r="C45" s="261"/>
      <c r="D45" s="77" t="s">
        <v>52</v>
      </c>
      <c r="E45" s="78">
        <f>E33+E35+E37+E38+E39+E40+E43</f>
        <v>51484860</v>
      </c>
      <c r="F45" s="79" t="s">
        <v>53</v>
      </c>
      <c r="G45" s="274">
        <f>G33+G35+G37+G38+G39+G40+G43</f>
        <v>16051416.48</v>
      </c>
      <c r="H45" s="274"/>
      <c r="I45" s="275" t="s">
        <v>53</v>
      </c>
      <c r="J45" s="275"/>
      <c r="K45" s="276">
        <f>K33+K35+K37+K38+K39+K40+K43</f>
        <v>11770617.50085246</v>
      </c>
      <c r="L45" s="276"/>
      <c r="M45" s="276"/>
      <c r="N45" s="276"/>
      <c r="O45" s="276"/>
      <c r="P45" s="276"/>
      <c r="Q45" s="276"/>
      <c r="R45" s="80">
        <f>K45/R32</f>
        <v>122610.59896721313</v>
      </c>
      <c r="S45" s="81"/>
      <c r="T45" s="270"/>
      <c r="U45" s="270"/>
      <c r="V45" s="271"/>
      <c r="W45" s="272"/>
      <c r="X45" s="273"/>
      <c r="Y45" s="273"/>
      <c r="AA45" s="82">
        <f>(X33+X35+X36+X37+X38)+X44</f>
        <v>1342379.42</v>
      </c>
      <c r="AB45" s="74"/>
    </row>
    <row r="46" spans="1:28" ht="42.75" customHeight="1" x14ac:dyDescent="0.25">
      <c r="A46" s="83"/>
      <c r="B46" s="83"/>
      <c r="C46" s="83"/>
      <c r="D46" s="84"/>
      <c r="E46" s="85"/>
      <c r="F46" s="86"/>
      <c r="G46" s="87"/>
      <c r="H46" s="87"/>
      <c r="I46" s="88"/>
      <c r="J46" s="88"/>
      <c r="K46" s="89"/>
      <c r="L46" s="89"/>
      <c r="M46" s="89"/>
      <c r="N46" s="89"/>
      <c r="O46" s="89"/>
      <c r="P46" s="89"/>
      <c r="Q46" s="89"/>
      <c r="R46" s="90">
        <f>R45*12</f>
        <v>1471327.1876065575</v>
      </c>
      <c r="S46" s="91"/>
      <c r="T46" s="248" t="s">
        <v>54</v>
      </c>
      <c r="U46" s="248"/>
      <c r="V46" s="58">
        <v>0.11</v>
      </c>
      <c r="W46" s="92">
        <f>K45</f>
        <v>11770617.50085246</v>
      </c>
      <c r="X46" s="234">
        <f>W46*V46</f>
        <v>1294767.9250937707</v>
      </c>
      <c r="Y46" s="234"/>
      <c r="AA46" s="1"/>
      <c r="AB46" s="1"/>
    </row>
    <row r="47" spans="1:28" ht="33.75" customHeight="1" x14ac:dyDescent="0.25">
      <c r="A47" s="83"/>
      <c r="B47" s="83"/>
      <c r="C47" s="83"/>
      <c r="D47" s="84"/>
      <c r="E47" s="85"/>
      <c r="F47" s="86"/>
      <c r="G47" s="87"/>
      <c r="H47" s="87"/>
      <c r="I47" s="88"/>
      <c r="J47" s="88"/>
      <c r="K47" s="89"/>
      <c r="L47" s="89"/>
      <c r="M47" s="89"/>
      <c r="N47" s="89"/>
      <c r="O47" s="89"/>
      <c r="P47" s="89"/>
      <c r="Q47" s="89"/>
      <c r="R47" s="90">
        <f>(W23-X46)/8</f>
        <v>248794.30250000002</v>
      </c>
      <c r="S47" s="93"/>
      <c r="T47" s="94"/>
      <c r="U47" s="94"/>
      <c r="V47" s="95"/>
      <c r="W47" s="96"/>
      <c r="X47" s="97"/>
      <c r="Y47" s="97"/>
      <c r="AA47" s="1"/>
      <c r="AB47" s="1"/>
    </row>
    <row r="48" spans="1:28" ht="33.75" customHeight="1" x14ac:dyDescent="0.25">
      <c r="A48" s="83"/>
      <c r="B48" s="277" t="s">
        <v>55</v>
      </c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93"/>
      <c r="T48" s="94"/>
      <c r="U48" s="94"/>
      <c r="V48" s="98"/>
      <c r="W48" s="99">
        <v>14000000</v>
      </c>
      <c r="X48" s="100"/>
      <c r="Y48" s="100">
        <v>5</v>
      </c>
      <c r="AA48" s="1">
        <v>1</v>
      </c>
      <c r="AB48" s="101">
        <v>8000</v>
      </c>
    </row>
    <row r="49" spans="1:29" ht="33.75" customHeight="1" x14ac:dyDescent="0.35">
      <c r="A49" s="102"/>
      <c r="B49" s="102"/>
      <c r="C49" s="102"/>
      <c r="D49" s="103"/>
      <c r="E49" s="102"/>
      <c r="F49" s="102"/>
      <c r="G49" s="103"/>
      <c r="H49" s="104"/>
      <c r="I49" s="105"/>
      <c r="J49" s="106"/>
      <c r="K49" s="106"/>
      <c r="L49" s="107"/>
      <c r="M49" s="107"/>
      <c r="N49" s="107"/>
      <c r="O49" s="107"/>
      <c r="P49" s="107"/>
      <c r="Q49" s="107"/>
      <c r="R49" s="106"/>
      <c r="S49" s="93"/>
      <c r="T49" s="108"/>
      <c r="U49" s="108"/>
      <c r="V49" s="108"/>
      <c r="W49" s="109">
        <f>(W48-W46-1000000)*9/100</f>
        <v>110644.4249232786</v>
      </c>
      <c r="X49" s="110">
        <f>I60+W49</f>
        <v>272490.41555999994</v>
      </c>
      <c r="Y49" s="108">
        <v>6</v>
      </c>
      <c r="Z49" s="111"/>
      <c r="AA49" s="1">
        <v>2</v>
      </c>
      <c r="AB49" s="1"/>
    </row>
    <row r="50" spans="1:29" ht="43.5" customHeight="1" x14ac:dyDescent="0.25">
      <c r="B50" s="278" t="s">
        <v>56</v>
      </c>
      <c r="C50" s="278"/>
      <c r="D50" s="278"/>
      <c r="E50" s="278"/>
      <c r="F50" s="279" t="s">
        <v>57</v>
      </c>
      <c r="G50" s="279"/>
      <c r="H50" s="279"/>
      <c r="I50" s="280">
        <f>X46</f>
        <v>1294767.9250937707</v>
      </c>
      <c r="J50" s="280"/>
      <c r="K50" s="280"/>
      <c r="L50" s="280"/>
      <c r="M50" s="280"/>
      <c r="N50" s="112"/>
      <c r="O50" s="112"/>
      <c r="P50" s="112"/>
      <c r="Q50" s="112"/>
      <c r="R50" s="113"/>
      <c r="S50" s="114"/>
      <c r="T50" s="115"/>
      <c r="U50" s="108"/>
      <c r="V50" s="108"/>
      <c r="W50" s="108"/>
      <c r="X50" s="108"/>
      <c r="Y50" s="108"/>
      <c r="Z50" s="111"/>
      <c r="AA50" s="1">
        <v>3</v>
      </c>
      <c r="AB50" s="1"/>
    </row>
    <row r="51" spans="1:29" ht="45.75" customHeight="1" x14ac:dyDescent="0.35">
      <c r="B51" s="278"/>
      <c r="C51" s="278"/>
      <c r="D51" s="278"/>
      <c r="E51" s="278"/>
      <c r="F51" s="281"/>
      <c r="G51" s="281"/>
      <c r="H51" s="281"/>
      <c r="I51" s="282"/>
      <c r="J51" s="282"/>
      <c r="K51" s="282"/>
      <c r="L51" s="282"/>
      <c r="M51" s="282"/>
      <c r="N51" s="283"/>
      <c r="O51" s="283"/>
      <c r="P51" s="283"/>
      <c r="Q51" s="12"/>
      <c r="R51" s="116"/>
      <c r="S51" s="114"/>
      <c r="T51" s="115"/>
      <c r="U51" s="108"/>
      <c r="V51" s="108"/>
      <c r="W51" s="101">
        <f>D44*24*7*52.2*8</f>
        <v>10523520</v>
      </c>
      <c r="X51" s="108"/>
      <c r="Y51" s="108"/>
      <c r="Z51" s="111"/>
      <c r="AA51" s="1">
        <v>4</v>
      </c>
      <c r="AB51" s="1"/>
      <c r="AC51" s="117">
        <v>12000000</v>
      </c>
    </row>
    <row r="52" spans="1:29" ht="31.5" customHeight="1" x14ac:dyDescent="0.25">
      <c r="A52" s="118"/>
      <c r="B52" s="278"/>
      <c r="C52" s="278"/>
      <c r="D52" s="278"/>
      <c r="E52" s="278"/>
      <c r="F52" s="281" t="s">
        <v>58</v>
      </c>
      <c r="G52" s="281"/>
      <c r="H52" s="281"/>
      <c r="I52" s="284">
        <v>0</v>
      </c>
      <c r="J52" s="284"/>
      <c r="K52" s="284"/>
      <c r="L52" s="284"/>
      <c r="M52" s="284"/>
      <c r="N52" s="12"/>
      <c r="O52" s="12"/>
      <c r="P52" s="12"/>
      <c r="Q52" s="12"/>
      <c r="R52" s="119"/>
      <c r="S52" s="114"/>
      <c r="T52" s="115"/>
      <c r="U52" s="108"/>
      <c r="V52" s="108"/>
      <c r="W52" s="101">
        <f>350*100*8</f>
        <v>280000</v>
      </c>
      <c r="X52" s="108"/>
      <c r="Y52" s="108"/>
      <c r="Z52" s="111"/>
      <c r="AA52" s="1">
        <v>5</v>
      </c>
      <c r="AB52" s="1"/>
    </row>
    <row r="53" spans="1:29" ht="34.9" customHeight="1" x14ac:dyDescent="0.25">
      <c r="B53" s="278"/>
      <c r="C53" s="278"/>
      <c r="D53" s="278"/>
      <c r="E53" s="278"/>
      <c r="F53" s="281" t="s">
        <v>59</v>
      </c>
      <c r="G53" s="281"/>
      <c r="H53" s="281"/>
      <c r="I53" s="282">
        <f>I50+I51+I52</f>
        <v>1294767.9250937707</v>
      </c>
      <c r="J53" s="282"/>
      <c r="K53" s="282"/>
      <c r="L53" s="282"/>
      <c r="M53" s="282"/>
      <c r="N53" s="12"/>
      <c r="O53" s="12"/>
      <c r="P53" s="12"/>
      <c r="Q53" s="12"/>
      <c r="R53" s="120" t="s">
        <v>60</v>
      </c>
      <c r="S53" s="121"/>
      <c r="T53" s="115"/>
      <c r="U53" s="108"/>
      <c r="V53" s="108"/>
      <c r="W53" s="122">
        <f>W52*70/100</f>
        <v>196000</v>
      </c>
      <c r="X53" s="108"/>
      <c r="Y53" s="108"/>
      <c r="Z53" s="111"/>
      <c r="AA53" s="1">
        <v>6</v>
      </c>
      <c r="AB53" s="1"/>
    </row>
    <row r="54" spans="1:29" ht="15" customHeight="1" x14ac:dyDescent="0.25">
      <c r="B54" s="278"/>
      <c r="C54" s="278"/>
      <c r="D54" s="278"/>
      <c r="E54" s="278"/>
      <c r="F54" s="285" t="s">
        <v>61</v>
      </c>
      <c r="G54" s="285"/>
      <c r="H54" s="285"/>
      <c r="I54" s="286">
        <v>8</v>
      </c>
      <c r="J54" s="287"/>
      <c r="K54" s="287"/>
      <c r="L54" s="287"/>
      <c r="M54" s="287"/>
      <c r="N54" s="12"/>
      <c r="O54" s="12"/>
      <c r="P54" s="12"/>
      <c r="Q54" s="12"/>
      <c r="R54" s="116"/>
      <c r="S54" s="121"/>
      <c r="T54" s="115"/>
      <c r="U54" s="108"/>
      <c r="V54" s="108"/>
      <c r="W54" s="108"/>
      <c r="X54" s="108"/>
      <c r="Y54" s="108"/>
      <c r="Z54" s="111"/>
      <c r="AA54" s="1">
        <v>7</v>
      </c>
      <c r="AB54" s="1"/>
    </row>
    <row r="55" spans="1:29" ht="15" customHeight="1" x14ac:dyDescent="0.25">
      <c r="B55" s="278"/>
      <c r="C55" s="278"/>
      <c r="D55" s="278"/>
      <c r="E55" s="278"/>
      <c r="F55" s="285"/>
      <c r="G55" s="285"/>
      <c r="H55" s="285"/>
      <c r="I55" s="286"/>
      <c r="J55" s="287"/>
      <c r="K55" s="287"/>
      <c r="L55" s="287"/>
      <c r="M55" s="287"/>
      <c r="N55" s="12"/>
      <c r="O55" s="12"/>
      <c r="P55" s="12"/>
      <c r="Q55" s="12"/>
      <c r="R55" s="116"/>
      <c r="S55" s="121"/>
      <c r="T55" s="115"/>
      <c r="U55" s="108"/>
      <c r="V55" s="108"/>
      <c r="W55" s="108"/>
      <c r="X55" s="108"/>
      <c r="Y55" s="108"/>
      <c r="Z55" s="111"/>
      <c r="AA55" s="1">
        <v>8</v>
      </c>
      <c r="AB55" s="1"/>
    </row>
    <row r="56" spans="1:29" ht="23.45" customHeight="1" x14ac:dyDescent="0.35">
      <c r="B56" s="278"/>
      <c r="C56" s="278"/>
      <c r="D56" s="278"/>
      <c r="E56" s="278"/>
      <c r="F56" s="285"/>
      <c r="G56" s="285"/>
      <c r="H56" s="285"/>
      <c r="I56" s="286"/>
      <c r="J56" s="288"/>
      <c r="K56" s="288"/>
      <c r="L56" s="288"/>
      <c r="M56" s="288"/>
      <c r="N56" s="12"/>
      <c r="O56" s="12"/>
      <c r="P56" s="12"/>
      <c r="Q56" s="12"/>
      <c r="R56" s="116"/>
      <c r="S56" s="121"/>
      <c r="T56" s="115"/>
      <c r="U56" s="108"/>
      <c r="V56" s="108"/>
      <c r="W56" s="108"/>
      <c r="X56" s="108"/>
      <c r="Y56" s="108"/>
      <c r="Z56" s="111"/>
      <c r="AA56" s="1"/>
      <c r="AB56" s="123">
        <v>12000000</v>
      </c>
      <c r="AC56">
        <v>180000</v>
      </c>
    </row>
    <row r="57" spans="1:29" ht="30" customHeight="1" x14ac:dyDescent="0.25">
      <c r="B57" s="278"/>
      <c r="C57" s="278"/>
      <c r="D57" s="278"/>
      <c r="E57" s="278"/>
      <c r="F57" s="285"/>
      <c r="G57" s="285"/>
      <c r="H57" s="285"/>
      <c r="I57" s="286"/>
      <c r="J57" s="288"/>
      <c r="K57" s="288"/>
      <c r="L57" s="288"/>
      <c r="M57" s="288"/>
      <c r="N57" s="12"/>
      <c r="O57" s="12"/>
      <c r="P57" s="12"/>
      <c r="Q57" s="12"/>
      <c r="R57" s="116"/>
      <c r="S57" s="121"/>
      <c r="T57" s="115"/>
      <c r="U57" s="108"/>
      <c r="V57" s="124">
        <v>9</v>
      </c>
      <c r="W57" s="124">
        <v>18</v>
      </c>
      <c r="X57" s="124">
        <f>W57-V57</f>
        <v>9</v>
      </c>
      <c r="Y57" s="125">
        <v>0.3</v>
      </c>
      <c r="Z57" s="126"/>
      <c r="AA57" s="1"/>
      <c r="AB57" s="1"/>
    </row>
    <row r="58" spans="1:29" ht="21.75" customHeight="1" x14ac:dyDescent="0.25">
      <c r="B58" s="278"/>
      <c r="C58" s="278"/>
      <c r="D58" s="278"/>
      <c r="E58" s="278"/>
      <c r="F58" s="285"/>
      <c r="G58" s="285"/>
      <c r="H58" s="285"/>
      <c r="I58" s="286"/>
      <c r="J58" s="289"/>
      <c r="K58" s="289"/>
      <c r="L58" s="289"/>
      <c r="M58" s="289"/>
      <c r="N58" s="12"/>
      <c r="O58" s="12"/>
      <c r="P58" s="12"/>
      <c r="Q58" s="12"/>
      <c r="R58" s="116"/>
      <c r="S58" s="121"/>
      <c r="T58" s="115"/>
      <c r="U58" s="108"/>
      <c r="V58" s="124">
        <v>18</v>
      </c>
      <c r="W58" s="124">
        <v>23</v>
      </c>
      <c r="X58" s="124">
        <f>W58-V58</f>
        <v>5</v>
      </c>
      <c r="Y58" s="125">
        <v>0.1</v>
      </c>
      <c r="Z58" s="126"/>
      <c r="AA58" s="1"/>
      <c r="AB58" s="1"/>
    </row>
    <row r="59" spans="1:29" ht="21.75" customHeight="1" x14ac:dyDescent="0.25">
      <c r="B59" s="278"/>
      <c r="C59" s="278"/>
      <c r="D59" s="278"/>
      <c r="E59" s="278"/>
      <c r="F59" s="285"/>
      <c r="G59" s="285"/>
      <c r="H59" s="285"/>
      <c r="I59" s="286"/>
      <c r="J59" s="289"/>
      <c r="K59" s="289"/>
      <c r="L59" s="289"/>
      <c r="M59" s="289"/>
      <c r="N59" s="12"/>
      <c r="O59" s="12"/>
      <c r="P59" s="12"/>
      <c r="Q59" s="12"/>
      <c r="R59" s="116"/>
      <c r="S59" s="121"/>
      <c r="T59" s="115"/>
      <c r="U59" s="108"/>
      <c r="V59" s="124">
        <v>23</v>
      </c>
      <c r="W59" s="124">
        <v>9</v>
      </c>
      <c r="X59" s="124">
        <v>10</v>
      </c>
      <c r="Y59" s="125">
        <v>0.02</v>
      </c>
      <c r="Z59" s="126"/>
      <c r="AA59" s="1"/>
      <c r="AB59" s="1"/>
    </row>
    <row r="60" spans="1:29" ht="15" customHeight="1" x14ac:dyDescent="0.25">
      <c r="B60" s="278"/>
      <c r="C60" s="278"/>
      <c r="D60" s="278"/>
      <c r="E60" s="278"/>
      <c r="F60" s="285"/>
      <c r="G60" s="285"/>
      <c r="H60" s="285"/>
      <c r="I60" s="290">
        <f>I53/I54</f>
        <v>161845.99063672134</v>
      </c>
      <c r="J60" s="290"/>
      <c r="K60" s="290"/>
      <c r="L60" s="290"/>
      <c r="M60" s="290"/>
      <c r="N60" s="291">
        <f>I60/(I60+J69)</f>
        <v>0.3315980174011976</v>
      </c>
      <c r="O60" s="291"/>
      <c r="P60" s="291"/>
      <c r="Q60" s="12"/>
      <c r="R60" s="116"/>
      <c r="S60" s="121"/>
      <c r="T60" s="115"/>
      <c r="U60" s="108"/>
      <c r="V60" s="108"/>
      <c r="W60" s="108"/>
      <c r="X60" s="124">
        <f>SUM(X57:X59)</f>
        <v>24</v>
      </c>
      <c r="Y60" s="127">
        <f>SUM(Y57:Y59)</f>
        <v>0.42000000000000004</v>
      </c>
      <c r="Z60" s="111"/>
      <c r="AA60" s="1"/>
      <c r="AB60" s="1"/>
    </row>
    <row r="61" spans="1:29" ht="26.25" customHeight="1" x14ac:dyDescent="0.25">
      <c r="B61" s="278"/>
      <c r="C61" s="278"/>
      <c r="D61" s="278"/>
      <c r="E61" s="278"/>
      <c r="F61" s="285"/>
      <c r="G61" s="285"/>
      <c r="H61" s="285"/>
      <c r="I61" s="290"/>
      <c r="J61" s="290"/>
      <c r="K61" s="290"/>
      <c r="L61" s="290"/>
      <c r="M61" s="290"/>
      <c r="N61" s="291"/>
      <c r="O61" s="291"/>
      <c r="P61" s="291"/>
      <c r="Q61" s="49"/>
      <c r="R61" s="50"/>
      <c r="S61" s="121"/>
      <c r="T61" s="115"/>
      <c r="U61" s="108"/>
      <c r="V61" s="108"/>
      <c r="W61" s="108"/>
      <c r="X61" s="108"/>
      <c r="Y61" s="108"/>
      <c r="Z61" s="128"/>
      <c r="AA61" s="1"/>
      <c r="AB61" s="1"/>
    </row>
    <row r="62" spans="1:29" ht="15.75" customHeight="1" x14ac:dyDescent="0.25"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121"/>
      <c r="T62" s="115"/>
      <c r="U62" s="108"/>
      <c r="V62" s="108"/>
      <c r="W62" s="108"/>
      <c r="X62" s="108"/>
      <c r="Y62" s="108"/>
      <c r="Z62" s="111"/>
      <c r="AA62" s="1"/>
      <c r="AB62" s="1"/>
    </row>
    <row r="63" spans="1:29" ht="15.75" customHeight="1" x14ac:dyDescent="0.25">
      <c r="B63" s="129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30"/>
      <c r="T63" s="108"/>
      <c r="U63" s="108"/>
      <c r="V63" s="108"/>
      <c r="W63" s="108"/>
      <c r="X63" s="108"/>
      <c r="Y63" s="108"/>
      <c r="Z63" s="111"/>
      <c r="AA63" s="1"/>
      <c r="AB63" s="1"/>
    </row>
    <row r="64" spans="1:29" ht="36.75" customHeight="1" x14ac:dyDescent="0.25">
      <c r="B64" s="292" t="s">
        <v>62</v>
      </c>
      <c r="C64" s="292"/>
      <c r="D64" s="292"/>
      <c r="E64" s="292"/>
      <c r="F64" s="293" t="s">
        <v>63</v>
      </c>
      <c r="G64" s="293"/>
      <c r="H64" s="293"/>
      <c r="I64" s="280">
        <f>K45</f>
        <v>11770617.50085246</v>
      </c>
      <c r="J64" s="280"/>
      <c r="K64" s="280"/>
      <c r="L64" s="280"/>
      <c r="M64" s="280"/>
      <c r="N64" s="112"/>
      <c r="O64" s="112"/>
      <c r="P64" s="112"/>
      <c r="Q64" s="112"/>
      <c r="R64" s="113"/>
      <c r="T64" s="108"/>
      <c r="U64" s="108"/>
      <c r="V64" s="108"/>
      <c r="W64" s="122">
        <f>I68/8</f>
        <v>326232.89446983603</v>
      </c>
      <c r="X64" s="108"/>
      <c r="Y64" s="108"/>
      <c r="Z64" s="111"/>
      <c r="AA64" s="1"/>
      <c r="AB64" s="1"/>
    </row>
    <row r="65" spans="1:28" ht="33" customHeight="1" x14ac:dyDescent="0.25">
      <c r="B65" s="292"/>
      <c r="C65" s="292"/>
      <c r="D65" s="292"/>
      <c r="E65" s="292"/>
      <c r="F65" s="281" t="s">
        <v>64</v>
      </c>
      <c r="G65" s="281"/>
      <c r="H65" s="281"/>
      <c r="I65" s="282"/>
      <c r="J65" s="282"/>
      <c r="K65" s="282"/>
      <c r="L65" s="282"/>
      <c r="M65" s="282"/>
      <c r="N65" s="12"/>
      <c r="O65" s="12"/>
      <c r="P65" s="12"/>
      <c r="Q65" s="12"/>
      <c r="R65" s="116"/>
      <c r="T65" s="294" t="s">
        <v>65</v>
      </c>
      <c r="U65" s="294"/>
      <c r="V65" s="294"/>
      <c r="W65" s="294"/>
      <c r="X65" s="294"/>
      <c r="Y65" s="294"/>
      <c r="AA65" s="25">
        <f>I50-992640</f>
        <v>302127.92509377073</v>
      </c>
      <c r="AB65" s="1"/>
    </row>
    <row r="66" spans="1:28" ht="33" customHeight="1" x14ac:dyDescent="0.25">
      <c r="B66" s="292"/>
      <c r="C66" s="292"/>
      <c r="D66" s="292"/>
      <c r="E66" s="292"/>
      <c r="F66" s="281"/>
      <c r="G66" s="281"/>
      <c r="H66" s="281"/>
      <c r="I66" s="295"/>
      <c r="J66" s="295"/>
      <c r="K66" s="295"/>
      <c r="L66" s="295"/>
      <c r="M66" s="295"/>
      <c r="N66" s="12"/>
      <c r="O66" s="12"/>
      <c r="P66" s="12"/>
      <c r="Q66" s="12"/>
      <c r="R66" s="116"/>
      <c r="T66" s="294"/>
      <c r="U66" s="294"/>
      <c r="V66" s="294"/>
      <c r="W66" s="294"/>
      <c r="X66" s="294"/>
      <c r="Y66" s="294"/>
      <c r="AA66" s="1"/>
      <c r="AB66" s="1"/>
    </row>
    <row r="67" spans="1:28" ht="35.25" customHeight="1" x14ac:dyDescent="0.25">
      <c r="B67" s="292"/>
      <c r="C67" s="292"/>
      <c r="D67" s="292"/>
      <c r="E67" s="292"/>
      <c r="F67" s="281" t="s">
        <v>66</v>
      </c>
      <c r="G67" s="281"/>
      <c r="H67" s="281"/>
      <c r="I67" s="282">
        <f>-(W16+W23)</f>
        <v>-9160754.3450937718</v>
      </c>
      <c r="J67" s="282"/>
      <c r="K67" s="282"/>
      <c r="L67" s="282"/>
      <c r="M67" s="282"/>
      <c r="N67" s="12"/>
      <c r="O67" s="12"/>
      <c r="P67" s="12"/>
      <c r="Q67" s="296" t="s">
        <v>67</v>
      </c>
      <c r="R67" s="296"/>
      <c r="AA67" s="1"/>
      <c r="AB67" s="1"/>
    </row>
    <row r="68" spans="1:28" ht="45" customHeight="1" x14ac:dyDescent="0.25">
      <c r="B68" s="292"/>
      <c r="C68" s="292"/>
      <c r="D68" s="292"/>
      <c r="E68" s="292"/>
      <c r="F68" s="281" t="s">
        <v>68</v>
      </c>
      <c r="G68" s="281"/>
      <c r="H68" s="281"/>
      <c r="I68" s="284">
        <f>SUM(I64:I67)</f>
        <v>2609863.1557586882</v>
      </c>
      <c r="J68" s="284"/>
      <c r="K68" s="284"/>
      <c r="L68" s="284"/>
      <c r="M68" s="284"/>
      <c r="N68" s="12"/>
      <c r="O68" s="12"/>
      <c r="P68" s="12"/>
      <c r="Q68" s="297" t="s">
        <v>69</v>
      </c>
      <c r="R68" s="297"/>
      <c r="AA68" s="1"/>
      <c r="AB68" s="1"/>
    </row>
    <row r="69" spans="1:28" ht="15.75" customHeight="1" x14ac:dyDescent="0.25">
      <c r="B69" s="292"/>
      <c r="C69" s="292"/>
      <c r="D69" s="292"/>
      <c r="E69" s="292"/>
      <c r="F69" s="281" t="s">
        <v>70</v>
      </c>
      <c r="G69" s="281"/>
      <c r="H69" s="281"/>
      <c r="I69" s="298">
        <v>8</v>
      </c>
      <c r="J69" s="299">
        <f>I68/I69</f>
        <v>326232.89446983603</v>
      </c>
      <c r="K69" s="299"/>
      <c r="L69" s="299"/>
      <c r="M69" s="299"/>
      <c r="N69" s="300">
        <f>J69/(I60+J69)</f>
        <v>0.66840198259880235</v>
      </c>
      <c r="O69" s="300"/>
      <c r="P69" s="300"/>
      <c r="Q69" s="12"/>
      <c r="R69" s="116"/>
      <c r="T69" s="301" t="s">
        <v>71</v>
      </c>
      <c r="U69" s="301"/>
      <c r="V69" s="301"/>
      <c r="W69" s="301"/>
      <c r="X69" s="301"/>
      <c r="Y69" s="301"/>
      <c r="AA69" s="1"/>
      <c r="AB69" s="1"/>
    </row>
    <row r="70" spans="1:28" ht="42.75" customHeight="1" x14ac:dyDescent="0.25">
      <c r="B70" s="292"/>
      <c r="C70" s="292"/>
      <c r="D70" s="292"/>
      <c r="E70" s="292"/>
      <c r="F70" s="281"/>
      <c r="G70" s="281"/>
      <c r="H70" s="281"/>
      <c r="I70" s="298"/>
      <c r="J70" s="299"/>
      <c r="K70" s="299"/>
      <c r="L70" s="299"/>
      <c r="M70" s="299"/>
      <c r="N70" s="300"/>
      <c r="O70" s="300"/>
      <c r="P70" s="300"/>
      <c r="Q70" s="12"/>
      <c r="R70" s="116"/>
      <c r="T70" s="301"/>
      <c r="U70" s="301"/>
      <c r="V70" s="301"/>
      <c r="W70" s="301"/>
      <c r="X70" s="301"/>
      <c r="Y70" s="301"/>
      <c r="AA70" s="1"/>
      <c r="AB70" s="1"/>
    </row>
    <row r="71" spans="1:28" ht="15.75" customHeight="1" x14ac:dyDescent="0.25"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  <c r="T71" s="301"/>
      <c r="U71" s="301"/>
      <c r="V71" s="301"/>
      <c r="W71" s="301"/>
      <c r="X71" s="301"/>
      <c r="Y71" s="301"/>
      <c r="AA71" s="1">
        <f>AA45/J69</f>
        <v>4.1147886762967687</v>
      </c>
      <c r="AB71" s="1"/>
    </row>
    <row r="72" spans="1:28" ht="15.75" customHeight="1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T72" s="131"/>
      <c r="U72" s="131"/>
      <c r="V72" s="131"/>
      <c r="W72" s="131"/>
      <c r="X72" s="131"/>
      <c r="Y72" s="131"/>
      <c r="AA72" s="1"/>
      <c r="AB72" s="1"/>
    </row>
    <row r="73" spans="1:28" ht="15.75" customHeight="1" x14ac:dyDescent="0.25">
      <c r="A73" s="108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08"/>
      <c r="T73" s="132"/>
      <c r="U73" s="132"/>
      <c r="V73" s="132"/>
      <c r="W73" s="132"/>
      <c r="X73" s="132"/>
      <c r="Y73" s="132"/>
      <c r="Z73" s="108"/>
      <c r="AA73" s="108"/>
      <c r="AB73" s="108"/>
    </row>
    <row r="74" spans="1:28" ht="15.75" customHeight="1" x14ac:dyDescent="0.25">
      <c r="A74" s="108"/>
      <c r="B74" s="115"/>
      <c r="C74" s="115"/>
      <c r="D74" s="133">
        <f>K45-R46</f>
        <v>10299290.313245902</v>
      </c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08"/>
      <c r="T74" s="132"/>
      <c r="U74" s="132"/>
      <c r="V74" s="132">
        <f>4.33*12</f>
        <v>51.96</v>
      </c>
      <c r="W74" s="132"/>
      <c r="X74" s="132"/>
      <c r="Y74" s="132"/>
      <c r="Z74" s="108"/>
      <c r="AA74" s="108"/>
      <c r="AB74" s="108"/>
    </row>
    <row r="75" spans="1:28" ht="15.75" customHeight="1" x14ac:dyDescent="0.25">
      <c r="A75" s="108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08"/>
      <c r="T75" s="132"/>
      <c r="U75" s="132"/>
      <c r="V75" s="132"/>
      <c r="W75" s="132"/>
      <c r="X75" s="132">
        <f>350</f>
        <v>350</v>
      </c>
      <c r="Y75" s="132">
        <v>8</v>
      </c>
      <c r="Z75" s="108">
        <f>X75*Y75</f>
        <v>2800</v>
      </c>
      <c r="AA75" s="108">
        <v>150</v>
      </c>
      <c r="AB75" s="108">
        <f>Z75*AA75</f>
        <v>420000</v>
      </c>
    </row>
    <row r="76" spans="1:28" ht="15.75" customHeight="1" x14ac:dyDescent="0.25">
      <c r="A76" s="108"/>
      <c r="B76" s="115"/>
      <c r="C76" s="134">
        <f>R46-I60-E21-R47</f>
        <v>326232.89446983626</v>
      </c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08"/>
      <c r="T76" s="132"/>
      <c r="U76" s="132"/>
      <c r="V76" s="132"/>
      <c r="W76" s="132"/>
      <c r="X76" s="132"/>
      <c r="Y76" s="132"/>
      <c r="Z76" s="108"/>
      <c r="AA76" s="108"/>
      <c r="AB76" s="108"/>
    </row>
    <row r="77" spans="1:28" ht="15.75" customHeight="1" x14ac:dyDescent="0.25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</row>
    <row r="78" spans="1:28" ht="15.75" customHeight="1" x14ac:dyDescent="0.25">
      <c r="A78" s="108"/>
      <c r="B78" s="135"/>
      <c r="C78" s="135"/>
      <c r="D78" s="135"/>
      <c r="E78" s="135"/>
      <c r="F78" s="135"/>
      <c r="G78" s="136">
        <f>H79/F79*100</f>
        <v>8.6363636363636367</v>
      </c>
      <c r="H78" s="137">
        <f>F79*G78/100</f>
        <v>1118208.6625809837</v>
      </c>
      <c r="I78" s="135"/>
      <c r="J78" s="135"/>
      <c r="K78" s="135">
        <f>G79/G78</f>
        <v>1.0999999999999999E-2</v>
      </c>
      <c r="L78" s="135">
        <v>9.5</v>
      </c>
      <c r="M78" s="135">
        <f>L78/K78</f>
        <v>863.63636363636374</v>
      </c>
      <c r="N78" s="135"/>
      <c r="O78" s="135"/>
      <c r="P78" s="135"/>
      <c r="Q78" s="135"/>
      <c r="R78" s="135"/>
      <c r="S78" s="135"/>
      <c r="T78" s="135">
        <v>0.5</v>
      </c>
      <c r="U78" s="108"/>
      <c r="V78" s="108">
        <f>T78*22/100</f>
        <v>0.11</v>
      </c>
      <c r="W78" s="108">
        <f>T78+V78</f>
        <v>0.61</v>
      </c>
      <c r="X78" s="108"/>
      <c r="Y78" s="108"/>
      <c r="Z78" s="108"/>
      <c r="AA78" s="108"/>
      <c r="AB78" s="108"/>
    </row>
    <row r="79" spans="1:28" ht="15.75" customHeight="1" x14ac:dyDescent="0.25">
      <c r="A79" s="108"/>
      <c r="B79" s="135"/>
      <c r="C79" s="135"/>
      <c r="D79" s="137">
        <f>K45</f>
        <v>11770617.50085246</v>
      </c>
      <c r="E79" s="137">
        <f>D79*10/100</f>
        <v>1177061.7500852461</v>
      </c>
      <c r="F79" s="138">
        <f>D79+E79</f>
        <v>12947679.250937706</v>
      </c>
      <c r="G79" s="139">
        <v>9.5000000000000001E-2</v>
      </c>
      <c r="H79" s="137">
        <f>D79*G79</f>
        <v>1118208.6625809837</v>
      </c>
      <c r="I79" s="137">
        <f>H79*12/100</f>
        <v>134185.03950971804</v>
      </c>
      <c r="J79" s="135"/>
      <c r="K79" s="135">
        <f>G84/G85</f>
        <v>1.1000000000000001E-2</v>
      </c>
      <c r="L79" s="135">
        <v>12</v>
      </c>
      <c r="M79" s="135">
        <f>L79/K79</f>
        <v>1090.9090909090908</v>
      </c>
      <c r="N79" s="135"/>
      <c r="O79" s="135"/>
      <c r="P79" s="135"/>
      <c r="Q79" s="135"/>
      <c r="R79" s="137">
        <f>H79+H81</f>
        <v>2448208.6625809837</v>
      </c>
      <c r="S79" s="135"/>
      <c r="T79" s="135"/>
      <c r="U79" s="108"/>
      <c r="V79" s="108"/>
      <c r="W79" s="108"/>
      <c r="X79" s="108"/>
      <c r="Y79" s="108"/>
      <c r="Z79" s="108"/>
      <c r="AA79" s="108"/>
      <c r="AB79" s="108"/>
    </row>
    <row r="80" spans="1:28" ht="15.75" x14ac:dyDescent="0.25">
      <c r="A80" s="108"/>
      <c r="B80" s="135"/>
      <c r="C80" s="135"/>
      <c r="D80" s="137">
        <f>K46</f>
        <v>0</v>
      </c>
      <c r="E80" s="137">
        <f>D80*10/100</f>
        <v>0</v>
      </c>
      <c r="F80" s="137">
        <f>D80+E80</f>
        <v>0</v>
      </c>
      <c r="G80" s="139">
        <v>9.5000000000000001E-2</v>
      </c>
      <c r="H80" s="137">
        <f>D80*G80</f>
        <v>0</v>
      </c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08"/>
      <c r="V80" s="108"/>
      <c r="W80" s="108"/>
      <c r="X80" s="108"/>
      <c r="Y80" s="108"/>
      <c r="Z80" s="108"/>
      <c r="AA80" s="108"/>
      <c r="AB80" s="108"/>
    </row>
    <row r="81" spans="1:28" ht="15.75" x14ac:dyDescent="0.25">
      <c r="A81" s="108"/>
      <c r="B81" s="135"/>
      <c r="C81" s="135"/>
      <c r="D81" s="137">
        <f>K47</f>
        <v>0</v>
      </c>
      <c r="E81" s="137">
        <f>D81*10/100</f>
        <v>0</v>
      </c>
      <c r="F81" s="138">
        <v>14000000</v>
      </c>
      <c r="G81" s="139">
        <v>9.5000000000000001E-2</v>
      </c>
      <c r="H81" s="137">
        <f>F81*G81</f>
        <v>1330000</v>
      </c>
      <c r="I81" s="137">
        <f>H81-H79</f>
        <v>211791.33741901629</v>
      </c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08"/>
      <c r="V81" s="108"/>
      <c r="W81" s="108"/>
      <c r="X81" s="108"/>
      <c r="Y81" s="108"/>
      <c r="Z81" s="108"/>
      <c r="AA81" s="108"/>
      <c r="AB81" s="108"/>
    </row>
    <row r="82" spans="1:28" ht="15.75" x14ac:dyDescent="0.25">
      <c r="A82" s="108"/>
      <c r="B82" s="135"/>
      <c r="C82" s="135"/>
      <c r="D82" s="137"/>
      <c r="E82" s="137"/>
      <c r="F82" s="138"/>
      <c r="G82" s="139"/>
      <c r="H82" s="137"/>
      <c r="I82" s="137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08"/>
      <c r="V82" s="101">
        <f>D40*10*7*52.2*8</f>
        <v>1110816</v>
      </c>
      <c r="W82" s="108"/>
      <c r="X82" s="108">
        <v>24</v>
      </c>
      <c r="Y82" s="108">
        <f>X82*18/100</f>
        <v>4.32</v>
      </c>
      <c r="Z82" s="108"/>
      <c r="AA82" s="108"/>
      <c r="AB82" s="108"/>
    </row>
    <row r="83" spans="1:28" ht="15.75" customHeight="1" x14ac:dyDescent="0.25">
      <c r="A83" s="108"/>
      <c r="B83" s="135"/>
      <c r="C83" s="135"/>
      <c r="D83" s="137"/>
      <c r="E83" s="137">
        <f>D83*10/100</f>
        <v>0</v>
      </c>
      <c r="F83" s="138">
        <f>D83+E83</f>
        <v>0</v>
      </c>
      <c r="G83" s="139">
        <v>9.5000000000000001E-2</v>
      </c>
      <c r="H83" s="137">
        <f>D83*G83</f>
        <v>0</v>
      </c>
      <c r="I83" s="135"/>
      <c r="J83" s="135"/>
      <c r="K83" s="135"/>
      <c r="L83" s="135"/>
      <c r="M83" s="135"/>
      <c r="N83" s="135"/>
      <c r="O83" s="135"/>
      <c r="P83" s="135"/>
      <c r="Q83" s="135"/>
      <c r="R83" s="137">
        <f>H83+H85</f>
        <v>0</v>
      </c>
      <c r="S83" s="135"/>
      <c r="T83" s="135"/>
      <c r="U83" s="108"/>
      <c r="V83" s="101">
        <f>D33*10*7*52.2*8</f>
        <v>21924000</v>
      </c>
      <c r="W83" s="108"/>
      <c r="X83" s="108"/>
      <c r="Y83" s="108"/>
      <c r="Z83" s="108"/>
      <c r="AA83" s="108"/>
      <c r="AB83" s="108"/>
    </row>
    <row r="84" spans="1:28" ht="15.75" x14ac:dyDescent="0.25">
      <c r="A84" s="108"/>
      <c r="B84" s="135"/>
      <c r="C84" s="135"/>
      <c r="D84" s="137">
        <f>D79</f>
        <v>11770617.50085246</v>
      </c>
      <c r="E84" s="137">
        <f>D84*10/100</f>
        <v>1177061.7500852461</v>
      </c>
      <c r="F84" s="137">
        <f>D84+E84</f>
        <v>12947679.250937706</v>
      </c>
      <c r="G84" s="140">
        <v>0.12</v>
      </c>
      <c r="H84" s="137">
        <f>D84*G84</f>
        <v>1412474.1001022952</v>
      </c>
      <c r="I84" s="137">
        <f>H84-H80</f>
        <v>1412474.1001022952</v>
      </c>
      <c r="J84" s="135"/>
      <c r="K84" s="135">
        <f>G85/G84</f>
        <v>90.909090909090907</v>
      </c>
      <c r="L84" s="135">
        <f>G84*K84/100</f>
        <v>0.10909090909090909</v>
      </c>
      <c r="M84" s="135"/>
      <c r="N84" s="135"/>
      <c r="O84" s="135"/>
      <c r="P84" s="135"/>
      <c r="Q84" s="135"/>
      <c r="R84" s="135"/>
      <c r="S84" s="135"/>
      <c r="T84" s="141">
        <f>V84+V85</f>
        <v>3305502</v>
      </c>
      <c r="U84" s="108"/>
      <c r="V84" s="101">
        <f>D35*5*7*13.5*8</f>
        <v>1806840</v>
      </c>
      <c r="W84" s="108"/>
      <c r="X84" s="108"/>
      <c r="Y84" s="108"/>
      <c r="Z84" s="108"/>
      <c r="AA84" s="108"/>
      <c r="AB84" s="108"/>
    </row>
    <row r="85" spans="1:28" ht="15.75" x14ac:dyDescent="0.25">
      <c r="A85" s="108"/>
      <c r="B85" s="135"/>
      <c r="C85" s="135"/>
      <c r="D85" s="135"/>
      <c r="E85" s="135"/>
      <c r="F85" s="137">
        <f>D85+E85</f>
        <v>0</v>
      </c>
      <c r="G85" s="136">
        <f>E87/D87*100</f>
        <v>10.909090909090908</v>
      </c>
      <c r="H85" s="135"/>
      <c r="I85" s="137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08"/>
      <c r="V85" s="101">
        <f>D37*5*3*39.15*8</f>
        <v>1498662</v>
      </c>
      <c r="W85" s="108"/>
      <c r="X85" s="108"/>
      <c r="Y85" s="108"/>
      <c r="Z85" s="108"/>
      <c r="AA85" s="108"/>
      <c r="AB85" s="108"/>
    </row>
    <row r="86" spans="1:28" ht="15.75" x14ac:dyDescent="0.25">
      <c r="A86" s="108"/>
      <c r="B86" s="135"/>
      <c r="C86" s="135"/>
      <c r="D86" s="135"/>
      <c r="E86" s="135"/>
      <c r="F86" s="137"/>
      <c r="G86" s="135"/>
      <c r="H86" s="135"/>
      <c r="I86" s="137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01">
        <f>184952.23*8</f>
        <v>1479617.84</v>
      </c>
      <c r="U86" s="108"/>
      <c r="V86" s="101">
        <v>992640</v>
      </c>
      <c r="W86" s="122">
        <f>T86+V86</f>
        <v>2472257.84</v>
      </c>
      <c r="X86" s="108">
        <f>I53/W86*100</f>
        <v>52.371880640644299</v>
      </c>
      <c r="Y86" s="108"/>
      <c r="Z86" s="108"/>
      <c r="AA86" s="108"/>
      <c r="AB86" s="108"/>
    </row>
    <row r="87" spans="1:28" ht="15.75" x14ac:dyDescent="0.25">
      <c r="A87" s="108"/>
      <c r="B87" s="135"/>
      <c r="C87" s="135"/>
      <c r="D87" s="138">
        <f>D93</f>
        <v>12947679.250937706</v>
      </c>
      <c r="E87" s="137">
        <f>H84</f>
        <v>1412474.1001022952</v>
      </c>
      <c r="F87" s="137">
        <v>14000000</v>
      </c>
      <c r="G87" s="137">
        <f>F87*E87/D87</f>
        <v>1527272.7272727273</v>
      </c>
      <c r="H87" s="135"/>
      <c r="I87" s="137">
        <f>G87-E87</f>
        <v>114798.62717043213</v>
      </c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08"/>
      <c r="V87" s="108"/>
      <c r="W87" s="108"/>
      <c r="X87" s="108"/>
      <c r="Y87" s="108"/>
      <c r="Z87" s="108"/>
      <c r="AA87" s="108"/>
      <c r="AB87" s="108"/>
    </row>
    <row r="88" spans="1:28" ht="15.75" x14ac:dyDescent="0.25">
      <c r="A88" s="108"/>
      <c r="B88" s="135"/>
      <c r="C88" s="135"/>
      <c r="D88" s="135"/>
      <c r="E88" s="135"/>
      <c r="F88" s="137">
        <v>12617158.02</v>
      </c>
      <c r="G88" s="137">
        <f>F88*G85/100</f>
        <v>1376417.2385454543</v>
      </c>
      <c r="H88" s="135"/>
      <c r="I88" s="137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08"/>
      <c r="V88" s="108">
        <f>V86/I53*100</f>
        <v>76.665476550796569</v>
      </c>
      <c r="W88" s="108"/>
      <c r="X88" s="108"/>
      <c r="Y88" s="108"/>
      <c r="Z88" s="108"/>
      <c r="AA88" s="108"/>
      <c r="AB88" s="108"/>
    </row>
    <row r="89" spans="1:28" ht="15.75" x14ac:dyDescent="0.25">
      <c r="A89" s="108"/>
      <c r="B89" s="135"/>
      <c r="C89" s="135"/>
      <c r="D89" s="135"/>
      <c r="E89" s="135"/>
      <c r="F89" s="137"/>
      <c r="G89" s="135"/>
      <c r="H89" s="135"/>
      <c r="I89" s="137"/>
      <c r="J89" s="135"/>
      <c r="K89" s="135"/>
      <c r="L89" s="135"/>
      <c r="M89" s="135"/>
      <c r="N89" s="135"/>
      <c r="O89" s="135"/>
      <c r="P89" s="135"/>
      <c r="Q89" s="135"/>
      <c r="R89" s="101">
        <f>D37*5*7*13.05*8</f>
        <v>1165626</v>
      </c>
      <c r="S89" s="135"/>
      <c r="T89" s="135"/>
      <c r="U89" s="108"/>
      <c r="V89" s="108"/>
      <c r="W89" s="108"/>
      <c r="X89" s="108"/>
      <c r="Y89" s="108"/>
      <c r="Z89" s="108"/>
      <c r="AA89" s="108"/>
      <c r="AB89" s="108"/>
    </row>
    <row r="90" spans="1:28" ht="15.75" x14ac:dyDescent="0.25">
      <c r="A90" s="108"/>
      <c r="B90" s="135"/>
      <c r="C90" s="135"/>
      <c r="D90" s="135"/>
      <c r="E90" s="135"/>
      <c r="F90" s="137">
        <f>D90+E90</f>
        <v>0</v>
      </c>
      <c r="G90" s="137">
        <f>F91*G78/100</f>
        <v>1209090.9090909092</v>
      </c>
      <c r="H90" s="135"/>
      <c r="I90" s="137">
        <f>H90-H84</f>
        <v>-1412474.1001022952</v>
      </c>
      <c r="J90" s="135"/>
      <c r="K90" s="135"/>
      <c r="L90" s="135"/>
      <c r="M90" s="135"/>
      <c r="N90" s="135"/>
      <c r="O90" s="135"/>
      <c r="P90" s="135"/>
      <c r="Q90" s="135"/>
      <c r="R90" s="101">
        <f>D37*5*3*39.15*8</f>
        <v>1498662</v>
      </c>
      <c r="S90" s="135"/>
      <c r="T90" s="135"/>
      <c r="U90" s="108"/>
      <c r="V90" s="122">
        <f>I50-992640</f>
        <v>302127.92509377073</v>
      </c>
      <c r="W90" s="122">
        <f>V90/W46*100</f>
        <v>2.5667975794123783</v>
      </c>
      <c r="X90" s="108">
        <v>6.42</v>
      </c>
      <c r="Y90" s="122">
        <f>W90+X90</f>
        <v>8.9867975794123787</v>
      </c>
      <c r="Z90" s="108"/>
      <c r="AA90" s="108"/>
      <c r="AB90" s="108"/>
    </row>
    <row r="91" spans="1:28" ht="15.75" x14ac:dyDescent="0.25">
      <c r="A91" s="108"/>
      <c r="B91" s="135"/>
      <c r="C91" s="135"/>
      <c r="D91" s="138">
        <f>D79</f>
        <v>11770617.50085246</v>
      </c>
      <c r="E91" s="137">
        <f>H79</f>
        <v>1118208.6625809837</v>
      </c>
      <c r="F91" s="137">
        <f>F81</f>
        <v>14000000</v>
      </c>
      <c r="G91" s="137">
        <f>E91*F91/D91</f>
        <v>1330000</v>
      </c>
      <c r="H91" s="135"/>
      <c r="I91" s="137">
        <f>H91-H85</f>
        <v>0</v>
      </c>
      <c r="J91" s="135"/>
      <c r="K91" s="135"/>
      <c r="L91" s="135"/>
      <c r="M91" s="135"/>
      <c r="N91" s="135"/>
      <c r="O91" s="135"/>
      <c r="P91" s="135"/>
      <c r="Q91" s="135"/>
      <c r="R91" s="141">
        <f>R89+R90</f>
        <v>2664288</v>
      </c>
      <c r="S91" s="135"/>
      <c r="T91" s="135"/>
      <c r="U91" s="108"/>
      <c r="V91" s="108"/>
      <c r="W91" s="108"/>
      <c r="X91" s="108"/>
      <c r="Y91" s="108"/>
      <c r="Z91" s="108"/>
      <c r="AA91" s="108"/>
      <c r="AB91" s="108"/>
    </row>
    <row r="92" spans="1:28" ht="15.75" x14ac:dyDescent="0.25">
      <c r="A92" s="108"/>
      <c r="B92" s="135"/>
      <c r="C92" s="135"/>
      <c r="D92" s="135"/>
      <c r="E92" s="135"/>
      <c r="F92" s="135"/>
      <c r="G92" s="137"/>
      <c r="H92" s="135"/>
      <c r="I92" s="137">
        <f>H92-H90</f>
        <v>0</v>
      </c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08"/>
      <c r="V92" s="142">
        <f>K45/14385173*100</f>
        <v>81.824650289937154</v>
      </c>
      <c r="W92" s="108"/>
      <c r="X92" s="108"/>
      <c r="Y92" s="108"/>
      <c r="Z92" s="108"/>
      <c r="AA92" s="108"/>
      <c r="AB92" s="108"/>
    </row>
    <row r="93" spans="1:28" ht="15.75" x14ac:dyDescent="0.25">
      <c r="A93" s="108"/>
      <c r="B93" s="135"/>
      <c r="C93" s="135"/>
      <c r="D93" s="138">
        <f>F79</f>
        <v>12947679.250937706</v>
      </c>
      <c r="E93" s="137">
        <f>E91</f>
        <v>1118208.6625809837</v>
      </c>
      <c r="F93" s="137">
        <f>F91</f>
        <v>14000000</v>
      </c>
      <c r="G93" s="137">
        <f>E93*F93/D93</f>
        <v>1209090.9090909092</v>
      </c>
      <c r="H93" s="135">
        <f>G93/D93*100</f>
        <v>9.3382828355386049</v>
      </c>
      <c r="I93" s="137">
        <f>G93-H79</f>
        <v>90882.246509925462</v>
      </c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08"/>
      <c r="V93" s="108"/>
      <c r="W93" s="108"/>
      <c r="X93" s="108"/>
      <c r="Y93" s="108"/>
      <c r="Z93" s="108"/>
      <c r="AA93" s="108"/>
      <c r="AB93" s="108"/>
    </row>
    <row r="94" spans="1:28" ht="15.75" x14ac:dyDescent="0.25">
      <c r="A94" s="108"/>
      <c r="B94" s="108"/>
      <c r="C94" s="108"/>
      <c r="D94" s="108"/>
      <c r="E94" s="108"/>
      <c r="F94" s="137">
        <f>F92</f>
        <v>0</v>
      </c>
      <c r="G94" s="137" t="e">
        <f>E94*F94/D94</f>
        <v>#DIV/0!</v>
      </c>
      <c r="H94" s="108"/>
      <c r="I94" s="137">
        <f>H94-H92</f>
        <v>0</v>
      </c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</row>
    <row r="95" spans="1:28" ht="15.75" x14ac:dyDescent="0.25">
      <c r="A95" s="108"/>
      <c r="B95" s="108"/>
      <c r="C95" s="108"/>
      <c r="D95" s="143">
        <f>D93</f>
        <v>12947679.250937706</v>
      </c>
      <c r="E95" s="142">
        <f>E93</f>
        <v>1118208.6625809837</v>
      </c>
      <c r="F95" s="137">
        <v>15000000</v>
      </c>
      <c r="G95" s="137">
        <f>E95*F95/D95</f>
        <v>1295454.5454545454</v>
      </c>
      <c r="H95" s="108"/>
      <c r="I95" s="137">
        <f>H95-H93</f>
        <v>-9.3382828355386049</v>
      </c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</row>
    <row r="96" spans="1:28" ht="15.75" x14ac:dyDescent="0.25">
      <c r="A96" s="108"/>
      <c r="B96" s="108"/>
      <c r="C96" s="108"/>
      <c r="D96" s="108"/>
      <c r="E96" s="108"/>
      <c r="F96" s="137">
        <f>F94</f>
        <v>0</v>
      </c>
      <c r="G96" s="137" t="e">
        <f>E96*F96/D96</f>
        <v>#DIV/0!</v>
      </c>
      <c r="H96" s="108"/>
      <c r="I96" s="137">
        <f>H96-H94</f>
        <v>0</v>
      </c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</row>
    <row r="97" spans="1:28" ht="15.75" x14ac:dyDescent="0.25">
      <c r="A97" s="108"/>
      <c r="B97" s="108"/>
      <c r="C97" s="108"/>
      <c r="D97" s="108"/>
      <c r="E97" s="108"/>
      <c r="F97" s="137"/>
      <c r="G97" s="137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</row>
    <row r="98" spans="1:28" ht="15.75" x14ac:dyDescent="0.25">
      <c r="A98" s="108"/>
      <c r="B98" s="108"/>
      <c r="C98" s="108"/>
      <c r="D98" s="108"/>
      <c r="E98" s="142">
        <f>E79</f>
        <v>1177061.7500852461</v>
      </c>
      <c r="F98" s="108"/>
      <c r="G98" s="137"/>
      <c r="H98" s="142"/>
      <c r="I98" s="142">
        <f>I81-I93</f>
        <v>120909.09090909082</v>
      </c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</row>
    <row r="99" spans="1:28" ht="15.75" x14ac:dyDescent="0.25">
      <c r="A99" s="108"/>
      <c r="B99" s="108"/>
      <c r="C99" s="108"/>
      <c r="D99" s="108"/>
      <c r="E99" s="108"/>
      <c r="F99" s="108"/>
      <c r="G99" s="137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</row>
    <row r="100" spans="1:28" ht="15.75" x14ac:dyDescent="0.25">
      <c r="A100" s="108"/>
      <c r="B100" s="108"/>
      <c r="C100" s="108"/>
      <c r="D100" s="108"/>
      <c r="E100" s="108"/>
      <c r="F100" s="108"/>
      <c r="G100" s="137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</row>
    <row r="101" spans="1:28" x14ac:dyDescent="0.25">
      <c r="A101" s="108"/>
      <c r="B101" s="108"/>
      <c r="C101" s="108"/>
      <c r="D101" s="108"/>
      <c r="E101" s="142">
        <f>F93</f>
        <v>14000000</v>
      </c>
      <c r="F101" s="108"/>
      <c r="G101" s="108"/>
      <c r="H101" s="142">
        <f>E101*G78/100</f>
        <v>1209090.9090909092</v>
      </c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</row>
    <row r="102" spans="1:28" x14ac:dyDescent="0.25">
      <c r="A102" s="108"/>
      <c r="B102" s="108"/>
      <c r="C102" s="108"/>
      <c r="D102" s="108"/>
      <c r="E102" s="142">
        <f>F94</f>
        <v>0</v>
      </c>
      <c r="F102" s="108"/>
      <c r="G102" s="108"/>
      <c r="H102" s="142">
        <f>E102*G79/100</f>
        <v>0</v>
      </c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</row>
    <row r="103" spans="1:28" x14ac:dyDescent="0.25">
      <c r="A103" s="108"/>
      <c r="B103" s="108"/>
      <c r="C103" s="108"/>
      <c r="D103" s="108"/>
      <c r="E103" s="142">
        <f>F95</f>
        <v>15000000</v>
      </c>
      <c r="F103" s="108"/>
      <c r="G103" s="108"/>
      <c r="H103" s="142">
        <f>E103*G78/100</f>
        <v>1295454.5454545454</v>
      </c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</row>
    <row r="104" spans="1:28" x14ac:dyDescent="0.25">
      <c r="A104" s="108"/>
      <c r="B104" s="108"/>
      <c r="C104" s="108"/>
      <c r="D104" s="108"/>
      <c r="E104" s="142">
        <f>F96</f>
        <v>0</v>
      </c>
      <c r="F104" s="108"/>
      <c r="G104" s="108"/>
      <c r="H104" s="142">
        <f>E104*G81/100</f>
        <v>0</v>
      </c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</row>
    <row r="105" spans="1:28" x14ac:dyDescent="0.25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</row>
  </sheetData>
  <sheetProtection selectLockedCells="1" selectUnlockedCells="1"/>
  <mergeCells count="145">
    <mergeCell ref="Q68:R68"/>
    <mergeCell ref="F69:H70"/>
    <mergeCell ref="I69:I70"/>
    <mergeCell ref="J69:M70"/>
    <mergeCell ref="N69:P70"/>
    <mergeCell ref="T69:Y71"/>
    <mergeCell ref="T65:Y66"/>
    <mergeCell ref="F66:H66"/>
    <mergeCell ref="I66:M66"/>
    <mergeCell ref="F67:H67"/>
    <mergeCell ref="I67:M67"/>
    <mergeCell ref="Q67:R67"/>
    <mergeCell ref="N60:P61"/>
    <mergeCell ref="B64:E70"/>
    <mergeCell ref="F64:H64"/>
    <mergeCell ref="I64:M64"/>
    <mergeCell ref="F65:H65"/>
    <mergeCell ref="I65:M65"/>
    <mergeCell ref="F68:H68"/>
    <mergeCell ref="I68:M68"/>
    <mergeCell ref="F54:H61"/>
    <mergeCell ref="I54:I59"/>
    <mergeCell ref="J54:M55"/>
    <mergeCell ref="J56:M57"/>
    <mergeCell ref="J58:M59"/>
    <mergeCell ref="I60:M61"/>
    <mergeCell ref="B50:E61"/>
    <mergeCell ref="F50:H50"/>
    <mergeCell ref="I50:M50"/>
    <mergeCell ref="F51:H51"/>
    <mergeCell ref="I51:M51"/>
    <mergeCell ref="N51:P51"/>
    <mergeCell ref="F52:H52"/>
    <mergeCell ref="I52:M52"/>
    <mergeCell ref="F53:H53"/>
    <mergeCell ref="I53:M53"/>
    <mergeCell ref="G45:H45"/>
    <mergeCell ref="I45:J45"/>
    <mergeCell ref="K45:Q45"/>
    <mergeCell ref="T46:U46"/>
    <mergeCell ref="X46:Y46"/>
    <mergeCell ref="B48:R48"/>
    <mergeCell ref="T43:U43"/>
    <mergeCell ref="X43:Y43"/>
    <mergeCell ref="T44:U45"/>
    <mergeCell ref="V44:V45"/>
    <mergeCell ref="W44:W45"/>
    <mergeCell ref="X44:Y45"/>
    <mergeCell ref="X40:Y42"/>
    <mergeCell ref="T42:U42"/>
    <mergeCell ref="A43:B45"/>
    <mergeCell ref="C43:C45"/>
    <mergeCell ref="E43:E44"/>
    <mergeCell ref="F43:F44"/>
    <mergeCell ref="G43:H44"/>
    <mergeCell ref="I43:J44"/>
    <mergeCell ref="K43:Q44"/>
    <mergeCell ref="R43:R44"/>
    <mergeCell ref="I40:J42"/>
    <mergeCell ref="K40:Q42"/>
    <mergeCell ref="R40:R42"/>
    <mergeCell ref="T40:U41"/>
    <mergeCell ref="V40:V42"/>
    <mergeCell ref="W40:W42"/>
    <mergeCell ref="A40:B42"/>
    <mergeCell ref="C40:C42"/>
    <mergeCell ref="D40:D42"/>
    <mergeCell ref="E40:E42"/>
    <mergeCell ref="F40:F42"/>
    <mergeCell ref="G40:H42"/>
    <mergeCell ref="A39:B39"/>
    <mergeCell ref="G39:H39"/>
    <mergeCell ref="I39:J39"/>
    <mergeCell ref="K39:Q39"/>
    <mergeCell ref="T39:U39"/>
    <mergeCell ref="X39:Y39"/>
    <mergeCell ref="X37:Y37"/>
    <mergeCell ref="A38:B38"/>
    <mergeCell ref="G38:H38"/>
    <mergeCell ref="I38:J38"/>
    <mergeCell ref="K38:Q38"/>
    <mergeCell ref="T38:U38"/>
    <mergeCell ref="X38:Y38"/>
    <mergeCell ref="R35:R36"/>
    <mergeCell ref="T35:U35"/>
    <mergeCell ref="X35:Y35"/>
    <mergeCell ref="T36:U36"/>
    <mergeCell ref="X36:Y36"/>
    <mergeCell ref="A37:B37"/>
    <mergeCell ref="G37:H37"/>
    <mergeCell ref="I37:J37"/>
    <mergeCell ref="K37:Q37"/>
    <mergeCell ref="T37:U37"/>
    <mergeCell ref="W33:W34"/>
    <mergeCell ref="X33:Y34"/>
    <mergeCell ref="A35:B36"/>
    <mergeCell ref="C35:C36"/>
    <mergeCell ref="D35:D36"/>
    <mergeCell ref="E35:E36"/>
    <mergeCell ref="F35:F36"/>
    <mergeCell ref="G35:H36"/>
    <mergeCell ref="I35:J36"/>
    <mergeCell ref="K35:Q36"/>
    <mergeCell ref="G33:H34"/>
    <mergeCell ref="I33:J34"/>
    <mergeCell ref="K33:Q34"/>
    <mergeCell ref="R33:R34"/>
    <mergeCell ref="T33:U34"/>
    <mergeCell ref="V33:V34"/>
    <mergeCell ref="K30:Q32"/>
    <mergeCell ref="R30:R31"/>
    <mergeCell ref="S30:S32"/>
    <mergeCell ref="T30:Y32"/>
    <mergeCell ref="G32:H32"/>
    <mergeCell ref="A33:B34"/>
    <mergeCell ref="C33:C34"/>
    <mergeCell ref="D33:D34"/>
    <mergeCell ref="E33:E34"/>
    <mergeCell ref="F33:F34"/>
    <mergeCell ref="T23:T28"/>
    <mergeCell ref="U23:V28"/>
    <mergeCell ref="W23:Y28"/>
    <mergeCell ref="B24:R27"/>
    <mergeCell ref="A30:B32"/>
    <mergeCell ref="C30:C32"/>
    <mergeCell ref="D30:D32"/>
    <mergeCell ref="E30:E32"/>
    <mergeCell ref="F30:H31"/>
    <mergeCell ref="I30:J32"/>
    <mergeCell ref="J20:M20"/>
    <mergeCell ref="N20:R20"/>
    <mergeCell ref="A21:B21"/>
    <mergeCell ref="E21:I21"/>
    <mergeCell ref="J21:M21"/>
    <mergeCell ref="N21:R21"/>
    <mergeCell ref="A1:Y4"/>
    <mergeCell ref="V6:W6"/>
    <mergeCell ref="A8:Y9"/>
    <mergeCell ref="A12:Y14"/>
    <mergeCell ref="B16:R19"/>
    <mergeCell ref="T16:T21"/>
    <mergeCell ref="U16:V21"/>
    <mergeCell ref="W16:Y21"/>
    <mergeCell ref="A20:B20"/>
    <mergeCell ref="E20:I20"/>
  </mergeCells>
  <printOptions horizontalCentered="1"/>
  <pageMargins left="0" right="0" top="0" bottom="0" header="0.51180555555555551" footer="0.51180555555555551"/>
  <pageSetup paperSize="8" scale="45" firstPageNumber="0" pageOrder="overThenDown" orientation="portrait" horizontalDpi="300" verticalDpi="300" r:id="rId1"/>
  <headerFooter alignWithMargins="0"/>
  <rowBreaks count="1" manualBreakCount="1">
    <brk id="7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W58"/>
  <sheetViews>
    <sheetView view="pageBreakPreview" topLeftCell="A31" zoomScaleNormal="85" workbookViewId="0">
      <selection activeCell="N42" sqref="N42"/>
    </sheetView>
  </sheetViews>
  <sheetFormatPr defaultRowHeight="15" x14ac:dyDescent="0.25"/>
  <cols>
    <col min="6" max="7" width="9.28515625" customWidth="1"/>
    <col min="8" max="8" width="12.5703125" customWidth="1"/>
    <col min="9" max="9" width="16" customWidth="1"/>
    <col min="10" max="10" width="13.140625" customWidth="1"/>
    <col min="11" max="11" width="15.7109375" customWidth="1"/>
    <col min="12" max="12" width="26.5703125" customWidth="1"/>
  </cols>
  <sheetData>
    <row r="8" spans="1:23" ht="15" customHeight="1" x14ac:dyDescent="0.25">
      <c r="R8">
        <v>12</v>
      </c>
      <c r="S8">
        <v>52.2</v>
      </c>
      <c r="U8">
        <v>9</v>
      </c>
      <c r="W8">
        <f>S8/R8*U8</f>
        <v>39.150000000000006</v>
      </c>
    </row>
    <row r="9" spans="1:23" x14ac:dyDescent="0.25">
      <c r="R9">
        <v>12</v>
      </c>
      <c r="S9">
        <v>52.2</v>
      </c>
      <c r="U9">
        <v>3</v>
      </c>
      <c r="W9">
        <f>S9/R9*U9</f>
        <v>13.05</v>
      </c>
    </row>
    <row r="10" spans="1:23" x14ac:dyDescent="0.25">
      <c r="R10">
        <v>12</v>
      </c>
      <c r="S10">
        <v>52.2</v>
      </c>
    </row>
    <row r="11" spans="1:23" ht="26.25" x14ac:dyDescent="0.25">
      <c r="A11" s="302" t="s">
        <v>72</v>
      </c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144"/>
      <c r="N11" s="144"/>
      <c r="O11" s="144"/>
      <c r="P11" s="73">
        <v>14</v>
      </c>
      <c r="Q11" s="73">
        <v>30</v>
      </c>
      <c r="R11" s="73">
        <v>9</v>
      </c>
      <c r="S11" s="73">
        <v>39.15</v>
      </c>
      <c r="T11" s="145">
        <f t="shared" ref="T11:T19" si="0">P11*Q11*S11</f>
        <v>16443</v>
      </c>
    </row>
    <row r="12" spans="1:23" ht="15" customHeight="1" x14ac:dyDescent="0.25">
      <c r="A12" s="11"/>
      <c r="B12" s="12"/>
      <c r="C12" s="303">
        <v>7</v>
      </c>
      <c r="D12" s="303"/>
      <c r="E12" s="303">
        <v>7</v>
      </c>
      <c r="F12" s="303"/>
      <c r="G12" s="303">
        <v>2</v>
      </c>
      <c r="H12" s="303"/>
      <c r="I12" s="12"/>
      <c r="J12" s="12"/>
      <c r="K12" s="12"/>
      <c r="L12" s="116"/>
      <c r="M12" s="12"/>
      <c r="N12" s="12"/>
      <c r="O12" s="12" t="s">
        <v>73</v>
      </c>
      <c r="P12">
        <f>C12+E12+G12</f>
        <v>16</v>
      </c>
      <c r="Q12">
        <v>35</v>
      </c>
      <c r="R12">
        <v>9</v>
      </c>
      <c r="S12">
        <v>39.15</v>
      </c>
      <c r="T12" s="146">
        <f t="shared" si="0"/>
        <v>21924</v>
      </c>
      <c r="U12">
        <f t="shared" ref="U12:U17" si="1">16.75</f>
        <v>16.75</v>
      </c>
      <c r="V12" s="147">
        <f t="shared" ref="V12:V19" si="2">T12*U12</f>
        <v>367227</v>
      </c>
    </row>
    <row r="13" spans="1:23" ht="15.75" customHeight="1" x14ac:dyDescent="0.25">
      <c r="A13" s="11"/>
      <c r="B13" s="12"/>
      <c r="C13" s="304">
        <v>8</v>
      </c>
      <c r="D13" s="304"/>
      <c r="E13" s="304">
        <v>8</v>
      </c>
      <c r="F13" s="304"/>
      <c r="G13" s="304">
        <v>2</v>
      </c>
      <c r="H13" s="304"/>
      <c r="I13" s="12"/>
      <c r="J13" s="12"/>
      <c r="K13" s="12"/>
      <c r="L13" s="116"/>
      <c r="M13" s="12"/>
      <c r="N13" s="12"/>
      <c r="O13" s="12" t="s">
        <v>73</v>
      </c>
      <c r="P13">
        <f>C13+E13+G13</f>
        <v>18</v>
      </c>
      <c r="Q13">
        <v>35</v>
      </c>
      <c r="R13">
        <v>3</v>
      </c>
      <c r="S13">
        <v>13.05</v>
      </c>
      <c r="T13" s="146">
        <f t="shared" si="0"/>
        <v>8221.5</v>
      </c>
      <c r="U13">
        <f t="shared" si="1"/>
        <v>16.75</v>
      </c>
      <c r="V13" s="147">
        <f t="shared" si="2"/>
        <v>137710.125</v>
      </c>
    </row>
    <row r="14" spans="1:23" ht="15" customHeight="1" x14ac:dyDescent="0.25">
      <c r="A14" s="305" t="s">
        <v>74</v>
      </c>
      <c r="B14" s="305"/>
      <c r="C14" s="306" t="s">
        <v>75</v>
      </c>
      <c r="D14" s="306"/>
      <c r="E14" s="306"/>
      <c r="F14" s="306"/>
      <c r="G14" s="306"/>
      <c r="H14" s="306"/>
      <c r="I14" s="307" t="s">
        <v>76</v>
      </c>
      <c r="J14" s="307"/>
      <c r="K14" s="308" t="s">
        <v>77</v>
      </c>
      <c r="L14" s="116"/>
      <c r="M14" s="12"/>
      <c r="N14" s="12"/>
      <c r="O14" s="12" t="s">
        <v>78</v>
      </c>
      <c r="P14">
        <v>3</v>
      </c>
      <c r="Q14">
        <v>35</v>
      </c>
      <c r="R14">
        <v>9</v>
      </c>
      <c r="S14">
        <v>39.15</v>
      </c>
      <c r="T14" s="146">
        <f t="shared" si="0"/>
        <v>4110.75</v>
      </c>
      <c r="U14">
        <f t="shared" si="1"/>
        <v>16.75</v>
      </c>
      <c r="V14" s="147">
        <f t="shared" si="2"/>
        <v>68855.0625</v>
      </c>
    </row>
    <row r="15" spans="1:23" ht="14.45" customHeight="1" x14ac:dyDescent="0.25">
      <c r="A15" s="305"/>
      <c r="B15" s="305"/>
      <c r="C15" s="148" t="s">
        <v>79</v>
      </c>
      <c r="D15" s="149"/>
      <c r="E15" s="309" t="s">
        <v>80</v>
      </c>
      <c r="F15" s="309"/>
      <c r="G15" s="309" t="s">
        <v>81</v>
      </c>
      <c r="H15" s="309"/>
      <c r="I15" s="307"/>
      <c r="J15" s="307"/>
      <c r="K15" s="308"/>
      <c r="L15" s="116"/>
      <c r="M15" s="12"/>
      <c r="N15" s="12"/>
      <c r="O15" s="121" t="s">
        <v>78</v>
      </c>
      <c r="P15">
        <v>3</v>
      </c>
      <c r="Q15">
        <v>35</v>
      </c>
      <c r="R15">
        <v>3</v>
      </c>
      <c r="S15">
        <v>13.05</v>
      </c>
      <c r="T15" s="150">
        <f t="shared" si="0"/>
        <v>1370.25</v>
      </c>
      <c r="U15">
        <f t="shared" si="1"/>
        <v>16.75</v>
      </c>
      <c r="V15" s="147">
        <f t="shared" si="2"/>
        <v>22951.6875</v>
      </c>
    </row>
    <row r="16" spans="1:23" x14ac:dyDescent="0.25">
      <c r="A16" s="151" t="s">
        <v>82</v>
      </c>
      <c r="B16" s="152">
        <v>6</v>
      </c>
      <c r="C16" s="310">
        <v>5</v>
      </c>
      <c r="D16" s="310"/>
      <c r="E16" s="310">
        <v>5</v>
      </c>
      <c r="F16" s="310"/>
      <c r="G16" s="310">
        <v>5</v>
      </c>
      <c r="H16" s="310"/>
      <c r="I16" s="310">
        <f>C16+E16+G16</f>
        <v>15</v>
      </c>
      <c r="J16" s="310"/>
      <c r="K16" s="308" t="s">
        <v>83</v>
      </c>
      <c r="L16" s="116"/>
      <c r="M16" s="12"/>
      <c r="N16" s="12"/>
      <c r="O16" s="121" t="s">
        <v>84</v>
      </c>
      <c r="P16">
        <v>2</v>
      </c>
      <c r="Q16">
        <v>35</v>
      </c>
      <c r="R16">
        <v>9</v>
      </c>
      <c r="S16">
        <v>39.15</v>
      </c>
      <c r="T16" s="150">
        <f t="shared" si="0"/>
        <v>2740.5</v>
      </c>
      <c r="U16">
        <f t="shared" si="1"/>
        <v>16.75</v>
      </c>
      <c r="V16" s="147">
        <f t="shared" si="2"/>
        <v>45903.375</v>
      </c>
    </row>
    <row r="17" spans="1:22" ht="15" customHeight="1" x14ac:dyDescent="0.25">
      <c r="A17" s="153" t="s">
        <v>85</v>
      </c>
      <c r="B17" s="154">
        <v>1</v>
      </c>
      <c r="C17" s="310"/>
      <c r="D17" s="310"/>
      <c r="E17" s="310"/>
      <c r="F17" s="310"/>
      <c r="G17" s="310"/>
      <c r="H17" s="310"/>
      <c r="I17" s="310"/>
      <c r="J17" s="310"/>
      <c r="K17" s="308"/>
      <c r="L17" s="116"/>
      <c r="M17" s="12"/>
      <c r="N17" s="12"/>
      <c r="O17" s="121" t="s">
        <v>84</v>
      </c>
      <c r="P17">
        <v>2</v>
      </c>
      <c r="Q17">
        <v>35</v>
      </c>
      <c r="R17">
        <v>3</v>
      </c>
      <c r="S17">
        <v>13.05</v>
      </c>
      <c r="T17" s="150">
        <f t="shared" si="0"/>
        <v>913.5</v>
      </c>
      <c r="U17">
        <f t="shared" si="1"/>
        <v>16.75</v>
      </c>
      <c r="V17" s="147">
        <f t="shared" si="2"/>
        <v>15301.125</v>
      </c>
    </row>
    <row r="18" spans="1:22" ht="18.600000000000001" customHeight="1" x14ac:dyDescent="0.25">
      <c r="A18" s="155" t="s">
        <v>86</v>
      </c>
      <c r="B18" s="156">
        <v>7</v>
      </c>
      <c r="C18" s="311">
        <f>B18*C16</f>
        <v>35</v>
      </c>
      <c r="D18" s="311"/>
      <c r="E18" s="311">
        <f>B18*E16</f>
        <v>35</v>
      </c>
      <c r="F18" s="311"/>
      <c r="G18" s="311">
        <f>B18*G16</f>
        <v>35</v>
      </c>
      <c r="H18" s="311"/>
      <c r="I18" s="310">
        <f>C18+E18+G18</f>
        <v>105</v>
      </c>
      <c r="J18" s="310"/>
      <c r="K18" s="157" t="s">
        <v>87</v>
      </c>
      <c r="L18" s="116"/>
      <c r="M18" s="12"/>
      <c r="N18" s="12"/>
      <c r="O18" s="121" t="s">
        <v>88</v>
      </c>
      <c r="P18" s="146">
        <v>3</v>
      </c>
      <c r="Q18" s="146">
        <v>35</v>
      </c>
      <c r="R18" s="146">
        <v>9</v>
      </c>
      <c r="S18" s="146">
        <v>39.15</v>
      </c>
      <c r="T18" s="150">
        <f t="shared" si="0"/>
        <v>4110.75</v>
      </c>
      <c r="U18" s="146">
        <v>16.170000000000002</v>
      </c>
      <c r="V18" s="147">
        <f t="shared" si="2"/>
        <v>66470.827500000014</v>
      </c>
    </row>
    <row r="19" spans="1:22" ht="84" customHeight="1" x14ac:dyDescent="0.25">
      <c r="A19" s="11"/>
      <c r="B19" s="158"/>
      <c r="C19" s="312" t="s">
        <v>89</v>
      </c>
      <c r="D19" s="312"/>
      <c r="E19" s="312" t="s">
        <v>90</v>
      </c>
      <c r="F19" s="312"/>
      <c r="G19" s="312" t="s">
        <v>91</v>
      </c>
      <c r="H19" s="312"/>
      <c r="I19" s="155"/>
      <c r="J19" s="159"/>
      <c r="K19" s="12"/>
      <c r="L19" s="116"/>
      <c r="M19" s="12"/>
      <c r="N19" s="12"/>
      <c r="O19" s="121" t="s">
        <v>88</v>
      </c>
      <c r="P19">
        <v>1</v>
      </c>
      <c r="Q19">
        <v>35</v>
      </c>
      <c r="R19">
        <v>3</v>
      </c>
      <c r="S19">
        <v>13.05</v>
      </c>
      <c r="T19" s="150">
        <f t="shared" si="0"/>
        <v>456.75</v>
      </c>
      <c r="U19">
        <v>16.75</v>
      </c>
      <c r="V19" s="147">
        <f t="shared" si="2"/>
        <v>7650.5625</v>
      </c>
    </row>
    <row r="20" spans="1:22" ht="70.150000000000006" customHeight="1" x14ac:dyDescent="0.25">
      <c r="A20" s="313" t="s">
        <v>92</v>
      </c>
      <c r="B20" s="313"/>
      <c r="C20" s="160" t="s">
        <v>93</v>
      </c>
      <c r="D20" s="161" t="s">
        <v>94</v>
      </c>
      <c r="E20" s="160" t="s">
        <v>93</v>
      </c>
      <c r="F20" s="161" t="s">
        <v>94</v>
      </c>
      <c r="G20" s="160" t="s">
        <v>93</v>
      </c>
      <c r="H20" s="162" t="s">
        <v>94</v>
      </c>
      <c r="I20" s="163" t="s">
        <v>95</v>
      </c>
      <c r="J20" s="164" t="s">
        <v>96</v>
      </c>
      <c r="K20" s="165" t="s">
        <v>97</v>
      </c>
      <c r="L20" s="116"/>
      <c r="M20" s="12"/>
      <c r="N20" s="12"/>
      <c r="O20" s="12"/>
    </row>
    <row r="21" spans="1:22" ht="14.45" customHeight="1" x14ac:dyDescent="0.25">
      <c r="A21" s="314" t="s">
        <v>98</v>
      </c>
      <c r="B21" s="315" t="s">
        <v>99</v>
      </c>
      <c r="C21" s="316">
        <v>4</v>
      </c>
      <c r="D21" s="317">
        <v>7</v>
      </c>
      <c r="E21" s="316">
        <v>4</v>
      </c>
      <c r="F21" s="317">
        <v>7</v>
      </c>
      <c r="G21" s="316">
        <v>2</v>
      </c>
      <c r="H21" s="318">
        <v>3</v>
      </c>
      <c r="I21" s="319">
        <f>C21+E21+G21</f>
        <v>10</v>
      </c>
      <c r="J21" s="320">
        <f>(C21*D21)+(E21*F21)+G21*H21</f>
        <v>62</v>
      </c>
      <c r="K21" s="321">
        <f>J21*52.5-12</f>
        <v>3243</v>
      </c>
      <c r="L21" s="322" t="s">
        <v>100</v>
      </c>
      <c r="M21" s="166"/>
      <c r="N21" s="166"/>
      <c r="O21" s="166"/>
    </row>
    <row r="22" spans="1:22" ht="14.45" customHeight="1" x14ac:dyDescent="0.25">
      <c r="A22" s="314"/>
      <c r="B22" s="315"/>
      <c r="C22" s="316"/>
      <c r="D22" s="317"/>
      <c r="E22" s="316"/>
      <c r="F22" s="317"/>
      <c r="G22" s="316"/>
      <c r="H22" s="318"/>
      <c r="I22" s="319"/>
      <c r="J22" s="320"/>
      <c r="K22" s="321"/>
      <c r="L22" s="322"/>
      <c r="M22" s="166"/>
      <c r="N22" s="166"/>
      <c r="O22" s="166"/>
    </row>
    <row r="23" spans="1:22" ht="15" customHeight="1" x14ac:dyDescent="0.25">
      <c r="A23" s="314"/>
      <c r="B23" s="315"/>
      <c r="C23" s="316"/>
      <c r="D23" s="317"/>
      <c r="E23" s="316"/>
      <c r="F23" s="317"/>
      <c r="G23" s="316"/>
      <c r="H23" s="323">
        <v>7</v>
      </c>
      <c r="I23" s="319"/>
      <c r="J23" s="324">
        <f>I21*7</f>
        <v>70</v>
      </c>
      <c r="K23" s="325">
        <f>J23*12</f>
        <v>840</v>
      </c>
      <c r="L23" s="326" t="s">
        <v>101</v>
      </c>
      <c r="M23" s="167"/>
      <c r="N23" s="167"/>
      <c r="O23" s="167"/>
    </row>
    <row r="24" spans="1:22" x14ac:dyDescent="0.25">
      <c r="A24" s="314"/>
      <c r="B24" s="315"/>
      <c r="C24" s="316"/>
      <c r="D24" s="317"/>
      <c r="E24" s="316"/>
      <c r="F24" s="317"/>
      <c r="G24" s="316"/>
      <c r="H24" s="323"/>
      <c r="I24" s="319"/>
      <c r="J24" s="324"/>
      <c r="K24" s="325"/>
      <c r="L24" s="326"/>
      <c r="M24" s="167"/>
      <c r="N24" s="167"/>
      <c r="O24" s="167"/>
    </row>
    <row r="25" spans="1:22" x14ac:dyDescent="0.25">
      <c r="A25" s="327" t="s">
        <v>102</v>
      </c>
      <c r="B25" s="328" t="s">
        <v>103</v>
      </c>
      <c r="C25" s="316">
        <v>3</v>
      </c>
      <c r="D25" s="317">
        <v>7</v>
      </c>
      <c r="E25" s="329">
        <v>3</v>
      </c>
      <c r="F25" s="317">
        <v>7</v>
      </c>
      <c r="G25" s="329"/>
      <c r="H25" s="330"/>
      <c r="I25" s="331">
        <f>C25+E25+G25</f>
        <v>6</v>
      </c>
      <c r="J25" s="332">
        <f>6*7</f>
        <v>42</v>
      </c>
      <c r="K25" s="333">
        <f>J25*52.5</f>
        <v>2205</v>
      </c>
      <c r="L25" s="334" t="s">
        <v>104</v>
      </c>
      <c r="M25" s="168"/>
      <c r="N25" s="168"/>
      <c r="O25" s="168"/>
    </row>
    <row r="26" spans="1:22" x14ac:dyDescent="0.25">
      <c r="A26" s="327"/>
      <c r="B26" s="328"/>
      <c r="C26" s="316"/>
      <c r="D26" s="317"/>
      <c r="E26" s="329"/>
      <c r="F26" s="317"/>
      <c r="G26" s="329"/>
      <c r="H26" s="330"/>
      <c r="I26" s="331"/>
      <c r="J26" s="332"/>
      <c r="K26" s="333"/>
      <c r="L26" s="334"/>
      <c r="M26" s="168"/>
      <c r="N26" s="168"/>
      <c r="O26" s="168"/>
    </row>
    <row r="27" spans="1:22" x14ac:dyDescent="0.25">
      <c r="A27" s="327"/>
      <c r="B27" s="328"/>
      <c r="C27" s="316"/>
      <c r="D27" s="317"/>
      <c r="E27" s="329"/>
      <c r="F27" s="317"/>
      <c r="G27" s="329"/>
      <c r="H27" s="330"/>
      <c r="I27" s="331"/>
      <c r="J27" s="332"/>
      <c r="K27" s="333"/>
      <c r="L27" s="334"/>
      <c r="M27" s="168"/>
      <c r="N27" s="168"/>
      <c r="O27" s="168"/>
    </row>
    <row r="28" spans="1:22" ht="15" customHeight="1" x14ac:dyDescent="0.25">
      <c r="A28" s="327"/>
      <c r="B28" s="328"/>
      <c r="C28" s="316"/>
      <c r="D28" s="317"/>
      <c r="E28" s="329"/>
      <c r="F28" s="317"/>
      <c r="G28" s="329"/>
      <c r="H28" s="330"/>
      <c r="I28" s="331"/>
      <c r="J28" s="332"/>
      <c r="K28" s="333"/>
      <c r="L28" s="334"/>
      <c r="M28" s="168"/>
      <c r="N28" s="168"/>
      <c r="O28" s="168"/>
    </row>
    <row r="29" spans="1:22" ht="14.45" customHeight="1" x14ac:dyDescent="0.25">
      <c r="A29" s="335" t="s">
        <v>105</v>
      </c>
      <c r="B29" s="315" t="s">
        <v>106</v>
      </c>
      <c r="C29" s="316">
        <v>1</v>
      </c>
      <c r="D29" s="317">
        <v>7</v>
      </c>
      <c r="E29" s="316">
        <v>1</v>
      </c>
      <c r="F29" s="317">
        <v>7</v>
      </c>
      <c r="G29" s="169"/>
      <c r="H29" s="336"/>
      <c r="I29" s="337">
        <f>C29+E29+G29</f>
        <v>2</v>
      </c>
      <c r="J29" s="338">
        <f>(C29*D29)+(E29*F29)</f>
        <v>14</v>
      </c>
      <c r="K29" s="339">
        <f>J29*12</f>
        <v>168</v>
      </c>
      <c r="L29" s="340" t="s">
        <v>101</v>
      </c>
      <c r="M29" s="170"/>
      <c r="N29" s="170"/>
      <c r="O29" s="170"/>
    </row>
    <row r="30" spans="1:22" ht="15" customHeight="1" x14ac:dyDescent="0.25">
      <c r="A30" s="335"/>
      <c r="B30" s="315"/>
      <c r="C30" s="316"/>
      <c r="D30" s="317"/>
      <c r="E30" s="316"/>
      <c r="F30" s="317"/>
      <c r="G30" s="171"/>
      <c r="H30" s="336"/>
      <c r="I30" s="337"/>
      <c r="J30" s="338"/>
      <c r="K30" s="339"/>
      <c r="L30" s="340"/>
      <c r="M30" s="170"/>
      <c r="N30" s="170"/>
      <c r="O30" s="170"/>
    </row>
    <row r="31" spans="1:22" ht="29.45" customHeight="1" x14ac:dyDescent="0.25">
      <c r="A31" s="335"/>
      <c r="B31" s="315"/>
      <c r="C31" s="316"/>
      <c r="D31" s="317"/>
      <c r="E31" s="316"/>
      <c r="F31" s="317"/>
      <c r="G31" s="172"/>
      <c r="H31" s="336"/>
      <c r="I31" s="337"/>
      <c r="J31" s="338"/>
      <c r="K31" s="339"/>
      <c r="L31" s="340"/>
      <c r="M31" s="170"/>
      <c r="N31" s="170"/>
      <c r="O31" s="170"/>
    </row>
    <row r="32" spans="1:22" ht="15" customHeight="1" x14ac:dyDescent="0.25">
      <c r="A32" s="341" t="s">
        <v>107</v>
      </c>
      <c r="B32" s="341"/>
      <c r="C32" s="342">
        <f>C21+C25</f>
        <v>7</v>
      </c>
      <c r="D32" s="343">
        <v>7</v>
      </c>
      <c r="E32" s="342">
        <f>E21+E25</f>
        <v>7</v>
      </c>
      <c r="F32" s="343">
        <v>7</v>
      </c>
      <c r="G32" s="342">
        <v>2</v>
      </c>
      <c r="H32" s="344">
        <v>3</v>
      </c>
      <c r="I32" s="345">
        <f>C32+E32+G32</f>
        <v>16</v>
      </c>
      <c r="J32" s="346">
        <f>J21+J25</f>
        <v>104</v>
      </c>
      <c r="K32" s="347">
        <f>J32*52.5-12</f>
        <v>5448</v>
      </c>
      <c r="L32" s="116"/>
      <c r="M32" s="12"/>
      <c r="N32" s="12"/>
      <c r="O32" s="12"/>
    </row>
    <row r="33" spans="1:19" ht="48.6" customHeight="1" x14ac:dyDescent="0.25">
      <c r="A33" s="341"/>
      <c r="B33" s="341"/>
      <c r="C33" s="342"/>
      <c r="D33" s="343"/>
      <c r="E33" s="342"/>
      <c r="F33" s="343"/>
      <c r="G33" s="342"/>
      <c r="H33" s="344"/>
      <c r="I33" s="345"/>
      <c r="J33" s="346"/>
      <c r="K33" s="347"/>
      <c r="L33" s="116"/>
      <c r="M33" s="12"/>
      <c r="N33" s="12"/>
      <c r="O33" s="12"/>
    </row>
    <row r="34" spans="1:19" ht="15" customHeight="1" x14ac:dyDescent="0.25">
      <c r="A34" s="341" t="s">
        <v>108</v>
      </c>
      <c r="B34" s="341"/>
      <c r="C34" s="342">
        <f>C21+C25+C29</f>
        <v>8</v>
      </c>
      <c r="D34" s="343">
        <v>7</v>
      </c>
      <c r="E34" s="342">
        <f>E21+E25+E29</f>
        <v>8</v>
      </c>
      <c r="F34" s="343">
        <v>7</v>
      </c>
      <c r="G34" s="342">
        <v>2</v>
      </c>
      <c r="H34" s="344">
        <v>7</v>
      </c>
      <c r="I34" s="337">
        <f>C34+E34+G34</f>
        <v>18</v>
      </c>
      <c r="J34" s="348">
        <f>J29</f>
        <v>14</v>
      </c>
      <c r="K34" s="349">
        <f>J34*12</f>
        <v>168</v>
      </c>
      <c r="L34" s="116"/>
      <c r="M34" s="12"/>
      <c r="N34" s="12"/>
      <c r="O34" s="12"/>
    </row>
    <row r="35" spans="1:19" ht="61.15" customHeight="1" x14ac:dyDescent="0.25">
      <c r="A35" s="341"/>
      <c r="B35" s="341"/>
      <c r="C35" s="342"/>
      <c r="D35" s="343"/>
      <c r="E35" s="342"/>
      <c r="F35" s="343"/>
      <c r="G35" s="342"/>
      <c r="H35" s="344"/>
      <c r="I35" s="337"/>
      <c r="J35" s="348"/>
      <c r="K35" s="349"/>
      <c r="L35" s="116"/>
      <c r="M35" s="12"/>
      <c r="N35" s="12"/>
      <c r="O35" s="12"/>
    </row>
    <row r="36" spans="1:19" ht="15" customHeight="1" x14ac:dyDescent="0.25">
      <c r="A36" s="11"/>
      <c r="B36" s="12"/>
      <c r="C36" s="12"/>
      <c r="D36" s="12"/>
      <c r="E36" s="12"/>
      <c r="F36" s="12"/>
      <c r="G36" s="12"/>
      <c r="H36" s="350" t="s">
        <v>109</v>
      </c>
      <c r="I36" s="350"/>
      <c r="J36" s="350"/>
      <c r="K36" s="351">
        <f>K32+K34</f>
        <v>5616</v>
      </c>
      <c r="L36" s="116"/>
      <c r="M36" s="12"/>
      <c r="N36" s="12"/>
      <c r="O36" s="12"/>
    </row>
    <row r="37" spans="1:19" ht="15" customHeight="1" x14ac:dyDescent="0.25">
      <c r="A37" s="11"/>
      <c r="B37" s="12"/>
      <c r="C37" s="12"/>
      <c r="D37" s="12"/>
      <c r="E37" s="12"/>
      <c r="F37" s="12"/>
      <c r="G37" s="12"/>
      <c r="H37" s="350"/>
      <c r="I37" s="350"/>
      <c r="J37" s="350"/>
      <c r="K37" s="351"/>
      <c r="L37" s="116"/>
      <c r="M37" s="12"/>
      <c r="N37" s="12"/>
      <c r="O37" s="12"/>
    </row>
    <row r="38" spans="1:19" ht="15" customHeight="1" x14ac:dyDescent="0.25">
      <c r="A38" s="11"/>
      <c r="B38" s="12"/>
      <c r="C38" s="12"/>
      <c r="D38" s="12"/>
      <c r="E38" s="12"/>
      <c r="F38" s="12"/>
      <c r="G38" s="12"/>
      <c r="H38" s="173"/>
      <c r="I38" s="173"/>
      <c r="J38" s="173"/>
      <c r="K38" s="174"/>
      <c r="L38" s="116"/>
      <c r="M38" s="12"/>
      <c r="N38" s="12"/>
      <c r="O38" s="12"/>
    </row>
    <row r="39" spans="1:19" ht="15" customHeight="1" x14ac:dyDescent="0.25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16"/>
      <c r="M39" s="12"/>
      <c r="N39" s="12"/>
      <c r="O39" s="12"/>
    </row>
    <row r="40" spans="1:19" ht="14.45" customHeight="1" x14ac:dyDescent="0.2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16"/>
      <c r="M40" s="12"/>
      <c r="N40" s="12"/>
      <c r="O40" s="12"/>
    </row>
    <row r="41" spans="1:19" ht="19.5" customHeight="1" x14ac:dyDescent="0.3">
      <c r="A41" s="352" t="s">
        <v>110</v>
      </c>
      <c r="B41" s="352"/>
      <c r="C41" s="352"/>
      <c r="D41" s="352"/>
      <c r="E41" s="352"/>
      <c r="F41" s="352"/>
      <c r="G41" s="352"/>
      <c r="H41" s="353" t="s">
        <v>72</v>
      </c>
      <c r="I41" s="353"/>
      <c r="J41" s="353"/>
      <c r="K41" s="353"/>
      <c r="L41" s="353"/>
      <c r="M41" s="175"/>
      <c r="N41" s="175"/>
      <c r="O41" s="175"/>
    </row>
    <row r="42" spans="1:19" ht="121.5" customHeight="1" x14ac:dyDescent="0.25">
      <c r="A42" s="354" t="s">
        <v>111</v>
      </c>
      <c r="B42" s="354"/>
      <c r="C42" s="354"/>
      <c r="D42" s="354"/>
      <c r="E42" s="354"/>
      <c r="F42" s="176" t="s">
        <v>112</v>
      </c>
      <c r="G42" s="176" t="s">
        <v>113</v>
      </c>
      <c r="H42" s="177" t="s">
        <v>114</v>
      </c>
      <c r="I42" s="176" t="s">
        <v>115</v>
      </c>
      <c r="J42" s="176" t="s">
        <v>116</v>
      </c>
      <c r="K42" s="176" t="s">
        <v>117</v>
      </c>
      <c r="L42" s="176" t="s">
        <v>118</v>
      </c>
      <c r="M42" s="178"/>
      <c r="N42" s="178"/>
      <c r="O42" s="178"/>
    </row>
    <row r="43" spans="1:19" ht="14.45" customHeight="1" x14ac:dyDescent="0.25">
      <c r="A43" s="355" t="s">
        <v>119</v>
      </c>
      <c r="B43" s="355"/>
      <c r="C43" s="355"/>
      <c r="D43" s="355"/>
      <c r="E43" s="355"/>
      <c r="F43" s="179">
        <f>'[1]costo del personale revisionato'!$AO$28</f>
        <v>16</v>
      </c>
      <c r="G43" s="179">
        <f>'[1]costo del personale revisionato'!$AO$30</f>
        <v>18</v>
      </c>
      <c r="H43" s="116"/>
      <c r="I43" s="180"/>
      <c r="J43" s="180"/>
      <c r="K43" s="180"/>
      <c r="L43" s="180"/>
      <c r="M43" s="12"/>
      <c r="N43" s="12"/>
      <c r="O43" s="12"/>
      <c r="P43">
        <f>F43*9</f>
        <v>144</v>
      </c>
      <c r="R43">
        <v>7</v>
      </c>
      <c r="S43">
        <f>P43*R43</f>
        <v>1008</v>
      </c>
    </row>
    <row r="44" spans="1:19" ht="15" customHeight="1" x14ac:dyDescent="0.25">
      <c r="A44" s="322" t="s">
        <v>78</v>
      </c>
      <c r="B44" s="322"/>
      <c r="C44" s="322"/>
      <c r="D44" s="322"/>
      <c r="E44" s="322"/>
      <c r="F44" s="181">
        <f>'[1]costo del personale revisionato'!$AC$39</f>
        <v>3</v>
      </c>
      <c r="G44" s="181">
        <f>'[1]costo del personale revisionato'!$AC$40</f>
        <v>3</v>
      </c>
      <c r="H44" s="116"/>
      <c r="I44" s="180"/>
      <c r="J44" s="180"/>
      <c r="K44" s="180"/>
      <c r="L44" s="180"/>
      <c r="M44" s="12"/>
      <c r="N44" s="12"/>
      <c r="O44" s="12"/>
    </row>
    <row r="45" spans="1:19" ht="14.45" customHeight="1" x14ac:dyDescent="0.25">
      <c r="A45" s="322" t="s">
        <v>84</v>
      </c>
      <c r="B45" s="322"/>
      <c r="C45" s="322"/>
      <c r="D45" s="322"/>
      <c r="E45" s="322"/>
      <c r="F45" s="181">
        <f>'[1]costo del personale revisionato'!$AD$39</f>
        <v>2</v>
      </c>
      <c r="G45" s="181">
        <v>2</v>
      </c>
      <c r="H45" s="116"/>
      <c r="I45" s="180"/>
      <c r="J45" s="180"/>
      <c r="K45" s="180"/>
      <c r="L45" s="180"/>
      <c r="M45" s="12"/>
      <c r="N45" s="12"/>
      <c r="O45" s="12"/>
    </row>
    <row r="46" spans="1:19" ht="14.45" customHeight="1" x14ac:dyDescent="0.25">
      <c r="A46" s="322" t="s">
        <v>120</v>
      </c>
      <c r="B46" s="322"/>
      <c r="C46" s="322"/>
      <c r="D46" s="322"/>
      <c r="E46" s="322"/>
      <c r="F46" s="181">
        <f>'[1]costo del personale revisionato'!$AE$39</f>
        <v>3</v>
      </c>
      <c r="G46" s="181">
        <f>'[1]costo del personale revisionato'!$AE$40</f>
        <v>1</v>
      </c>
      <c r="H46" s="116"/>
      <c r="I46" s="180"/>
      <c r="J46" s="180"/>
      <c r="K46" s="180"/>
      <c r="L46" s="180"/>
      <c r="M46" s="12"/>
      <c r="N46" s="12"/>
      <c r="O46" s="12"/>
    </row>
    <row r="47" spans="1:19" ht="14.45" customHeight="1" x14ac:dyDescent="0.25">
      <c r="A47" s="356" t="s">
        <v>121</v>
      </c>
      <c r="B47" s="356"/>
      <c r="C47" s="356"/>
      <c r="D47" s="356"/>
      <c r="E47" s="356"/>
      <c r="F47" s="182">
        <f>F43+F44+F45+F46</f>
        <v>24</v>
      </c>
      <c r="G47" s="182">
        <f>G43+G44+G45+G46</f>
        <v>24</v>
      </c>
      <c r="H47" s="183">
        <f>28645.74</f>
        <v>28645.74</v>
      </c>
      <c r="I47" s="184">
        <f>H47*35/40</f>
        <v>25065.022499999999</v>
      </c>
      <c r="J47" s="185">
        <f>(F47+G47)/2</f>
        <v>24</v>
      </c>
      <c r="K47" s="186">
        <f>I47*J47</f>
        <v>601560.54</v>
      </c>
      <c r="L47" s="186">
        <f>K47*8</f>
        <v>4812484.32</v>
      </c>
      <c r="M47" s="187"/>
      <c r="N47" s="187"/>
      <c r="O47" s="187"/>
    </row>
    <row r="48" spans="1:19" ht="14.45" customHeight="1" x14ac:dyDescent="0.25">
      <c r="A48" s="166"/>
      <c r="B48" s="12"/>
      <c r="C48" s="12"/>
      <c r="D48" s="12"/>
      <c r="E48" s="12"/>
      <c r="F48" s="12"/>
      <c r="G48" s="12"/>
      <c r="H48" s="12"/>
    </row>
    <row r="49" spans="1:19" x14ac:dyDescent="0.25">
      <c r="A49" s="166"/>
      <c r="B49" s="12"/>
      <c r="C49" s="12"/>
      <c r="D49" s="12"/>
      <c r="E49" s="12"/>
      <c r="F49" s="12"/>
      <c r="G49" s="12"/>
      <c r="H49" s="12"/>
    </row>
    <row r="50" spans="1:19" x14ac:dyDescent="0.25">
      <c r="A50" s="188"/>
      <c r="B50" s="12"/>
      <c r="C50" s="12"/>
      <c r="D50" s="189"/>
      <c r="E50" s="190"/>
      <c r="F50" s="191"/>
      <c r="G50" s="187"/>
      <c r="H50" s="187"/>
    </row>
    <row r="51" spans="1:19" ht="19.5" customHeight="1" x14ac:dyDescent="0.3">
      <c r="A51" s="352" t="s">
        <v>122</v>
      </c>
      <c r="B51" s="352"/>
      <c r="C51" s="352"/>
      <c r="D51" s="352"/>
      <c r="E51" s="352"/>
      <c r="F51" s="352"/>
      <c r="G51" s="352"/>
      <c r="H51" s="353" t="s">
        <v>72</v>
      </c>
      <c r="I51" s="353"/>
      <c r="J51" s="353"/>
      <c r="K51" s="353"/>
      <c r="L51" s="353"/>
      <c r="M51" s="175"/>
      <c r="N51" s="175"/>
      <c r="O51" s="175"/>
    </row>
    <row r="52" spans="1:19" ht="86.25" x14ac:dyDescent="0.25">
      <c r="A52" s="354" t="s">
        <v>123</v>
      </c>
      <c r="B52" s="354"/>
      <c r="C52" s="354"/>
      <c r="D52" s="354"/>
      <c r="E52" s="354"/>
      <c r="F52" s="176" t="s">
        <v>112</v>
      </c>
      <c r="G52" s="176" t="s">
        <v>113</v>
      </c>
      <c r="H52" s="177" t="s">
        <v>124</v>
      </c>
      <c r="I52" s="176" t="s">
        <v>125</v>
      </c>
      <c r="J52" s="176" t="s">
        <v>126</v>
      </c>
      <c r="K52" s="176" t="s">
        <v>117</v>
      </c>
      <c r="L52" s="176" t="s">
        <v>118</v>
      </c>
      <c r="M52" s="178"/>
      <c r="N52" s="178"/>
      <c r="O52" s="178"/>
    </row>
    <row r="53" spans="1:19" ht="14.45" customHeight="1" x14ac:dyDescent="0.25">
      <c r="A53" s="355" t="s">
        <v>119</v>
      </c>
      <c r="B53" s="355"/>
      <c r="C53" s="355"/>
      <c r="D53" s="355"/>
      <c r="E53" s="355"/>
      <c r="F53" s="192">
        <f>T12</f>
        <v>21924</v>
      </c>
      <c r="G53" s="193">
        <f>T13</f>
        <v>8221.5</v>
      </c>
      <c r="H53" s="116"/>
      <c r="I53" s="180"/>
      <c r="J53" s="180"/>
      <c r="K53" s="180"/>
      <c r="L53" s="180"/>
      <c r="M53" s="12"/>
      <c r="N53" s="12"/>
      <c r="O53" s="12"/>
      <c r="P53">
        <f>F53*9</f>
        <v>197316</v>
      </c>
      <c r="R53">
        <v>7</v>
      </c>
      <c r="S53">
        <f>P53*R53</f>
        <v>1381212</v>
      </c>
    </row>
    <row r="54" spans="1:19" ht="12.75" customHeight="1" x14ac:dyDescent="0.25">
      <c r="A54" s="322" t="s">
        <v>78</v>
      </c>
      <c r="B54" s="322"/>
      <c r="C54" s="322"/>
      <c r="D54" s="322"/>
      <c r="E54" s="322"/>
      <c r="F54" s="194">
        <f>T14</f>
        <v>4110.75</v>
      </c>
      <c r="G54" s="194">
        <f>T15</f>
        <v>1370.25</v>
      </c>
      <c r="H54" s="116"/>
      <c r="I54" s="180"/>
      <c r="J54" s="180"/>
      <c r="K54" s="180"/>
      <c r="L54" s="180"/>
      <c r="M54" s="12"/>
      <c r="N54" s="12"/>
      <c r="O54" s="12"/>
    </row>
    <row r="55" spans="1:19" ht="14.45" customHeight="1" x14ac:dyDescent="0.25">
      <c r="A55" s="322" t="s">
        <v>84</v>
      </c>
      <c r="B55" s="322"/>
      <c r="C55" s="322"/>
      <c r="D55" s="322"/>
      <c r="E55" s="322"/>
      <c r="F55" s="194">
        <f>T16</f>
        <v>2740.5</v>
      </c>
      <c r="G55" s="194">
        <f>T17</f>
        <v>913.5</v>
      </c>
      <c r="H55" s="116"/>
      <c r="I55" s="180"/>
      <c r="J55" s="180"/>
      <c r="K55" s="180"/>
      <c r="L55" s="180"/>
      <c r="M55" s="12"/>
      <c r="N55" s="12"/>
      <c r="O55" s="12"/>
    </row>
    <row r="56" spans="1:19" ht="14.45" customHeight="1" x14ac:dyDescent="0.25">
      <c r="A56" s="322" t="s">
        <v>120</v>
      </c>
      <c r="B56" s="322"/>
      <c r="C56" s="322"/>
      <c r="D56" s="322"/>
      <c r="E56" s="322"/>
      <c r="F56" s="194">
        <f>T18</f>
        <v>4110.75</v>
      </c>
      <c r="G56" s="194">
        <f>T19</f>
        <v>456.75</v>
      </c>
      <c r="H56" s="116"/>
      <c r="I56" s="180"/>
      <c r="J56" s="180"/>
      <c r="K56" s="180"/>
      <c r="L56" s="180"/>
      <c r="M56" s="12"/>
      <c r="N56" s="12"/>
      <c r="O56" s="12"/>
    </row>
    <row r="57" spans="1:19" ht="14.45" customHeight="1" x14ac:dyDescent="0.3">
      <c r="A57" s="356" t="s">
        <v>121</v>
      </c>
      <c r="B57" s="356"/>
      <c r="C57" s="356"/>
      <c r="D57" s="356"/>
      <c r="E57" s="356"/>
      <c r="F57" s="195">
        <f>F53+F54+F55+F56</f>
        <v>32886</v>
      </c>
      <c r="G57" s="195">
        <f>G53+G54+G55+G56</f>
        <v>10962</v>
      </c>
      <c r="H57" s="196">
        <v>16.75</v>
      </c>
      <c r="I57" s="197">
        <f>F57*H57</f>
        <v>550840.5</v>
      </c>
      <c r="J57" s="198">
        <f>G57*H57</f>
        <v>183613.5</v>
      </c>
      <c r="K57" s="199">
        <f>I57+J57</f>
        <v>734454</v>
      </c>
      <c r="L57" s="199">
        <f>K57*8</f>
        <v>5875632</v>
      </c>
      <c r="M57" s="187"/>
      <c r="N57" s="187"/>
      <c r="O57" s="187"/>
    </row>
    <row r="58" spans="1:19" ht="15" customHeight="1" x14ac:dyDescent="0.25">
      <c r="F58" s="357">
        <f>F57+G57</f>
        <v>43848</v>
      </c>
      <c r="G58" s="357"/>
    </row>
  </sheetData>
  <sheetProtection selectLockedCells="1" selectUnlockedCells="1"/>
  <mergeCells count="104">
    <mergeCell ref="A54:E54"/>
    <mergeCell ref="A55:E55"/>
    <mergeCell ref="A56:E56"/>
    <mergeCell ref="A57:E57"/>
    <mergeCell ref="F58:G58"/>
    <mergeCell ref="A46:E46"/>
    <mergeCell ref="A47:E47"/>
    <mergeCell ref="A51:G51"/>
    <mergeCell ref="H51:L51"/>
    <mergeCell ref="A52:E52"/>
    <mergeCell ref="A53:E53"/>
    <mergeCell ref="A41:G41"/>
    <mergeCell ref="H41:L41"/>
    <mergeCell ref="A42:E42"/>
    <mergeCell ref="A43:E43"/>
    <mergeCell ref="A44:E44"/>
    <mergeCell ref="A45:E45"/>
    <mergeCell ref="G34:G35"/>
    <mergeCell ref="H34:H35"/>
    <mergeCell ref="I34:I35"/>
    <mergeCell ref="J34:J35"/>
    <mergeCell ref="K34:K35"/>
    <mergeCell ref="H36:J37"/>
    <mergeCell ref="K36:K37"/>
    <mergeCell ref="G32:G33"/>
    <mergeCell ref="H32:H33"/>
    <mergeCell ref="I32:I33"/>
    <mergeCell ref="J32:J33"/>
    <mergeCell ref="K32:K33"/>
    <mergeCell ref="A34:B35"/>
    <mergeCell ref="C34:C35"/>
    <mergeCell ref="D34:D35"/>
    <mergeCell ref="E34:E35"/>
    <mergeCell ref="F34:F35"/>
    <mergeCell ref="H29:H31"/>
    <mergeCell ref="I29:I31"/>
    <mergeCell ref="J29:J31"/>
    <mergeCell ref="K29:K31"/>
    <mergeCell ref="L29:L31"/>
    <mergeCell ref="A32:B33"/>
    <mergeCell ref="C32:C33"/>
    <mergeCell ref="D32:D33"/>
    <mergeCell ref="E32:E33"/>
    <mergeCell ref="F32:F33"/>
    <mergeCell ref="A29:A31"/>
    <mergeCell ref="B29:B31"/>
    <mergeCell ref="C29:C31"/>
    <mergeCell ref="D29:D31"/>
    <mergeCell ref="E29:E31"/>
    <mergeCell ref="F29:F31"/>
    <mergeCell ref="G25:G28"/>
    <mergeCell ref="H25:H28"/>
    <mergeCell ref="I25:I28"/>
    <mergeCell ref="J25:J28"/>
    <mergeCell ref="K25:K28"/>
    <mergeCell ref="L25:L28"/>
    <mergeCell ref="A25:A28"/>
    <mergeCell ref="B25:B28"/>
    <mergeCell ref="C25:C28"/>
    <mergeCell ref="D25:D28"/>
    <mergeCell ref="E25:E28"/>
    <mergeCell ref="F25:F28"/>
    <mergeCell ref="G21:G24"/>
    <mergeCell ref="H21:H22"/>
    <mergeCell ref="I21:I24"/>
    <mergeCell ref="J21:J22"/>
    <mergeCell ref="K21:K22"/>
    <mergeCell ref="L21:L22"/>
    <mergeCell ref="H23:H24"/>
    <mergeCell ref="J23:J24"/>
    <mergeCell ref="K23:K24"/>
    <mergeCell ref="L23:L24"/>
    <mergeCell ref="C19:D19"/>
    <mergeCell ref="E19:F19"/>
    <mergeCell ref="G19:H19"/>
    <mergeCell ref="A20:B20"/>
    <mergeCell ref="A21:A24"/>
    <mergeCell ref="B21:B24"/>
    <mergeCell ref="C21:C24"/>
    <mergeCell ref="D21:D24"/>
    <mergeCell ref="E21:E24"/>
    <mergeCell ref="F21:F24"/>
    <mergeCell ref="C16:D17"/>
    <mergeCell ref="E16:F17"/>
    <mergeCell ref="G16:H17"/>
    <mergeCell ref="I16:J17"/>
    <mergeCell ref="K16:K17"/>
    <mergeCell ref="C18:D18"/>
    <mergeCell ref="E18:F18"/>
    <mergeCell ref="G18:H18"/>
    <mergeCell ref="I18:J18"/>
    <mergeCell ref="A14:B15"/>
    <mergeCell ref="C14:H14"/>
    <mergeCell ref="I14:J15"/>
    <mergeCell ref="K14:K15"/>
    <mergeCell ref="E15:F15"/>
    <mergeCell ref="G15:H15"/>
    <mergeCell ref="A11:L11"/>
    <mergeCell ref="C12:D12"/>
    <mergeCell ref="E12:F12"/>
    <mergeCell ref="G12:H12"/>
    <mergeCell ref="C13:D13"/>
    <mergeCell ref="E13:F13"/>
    <mergeCell ref="G13:H13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Fg 1 RICAVI E COSTI</vt:lpstr>
      <vt:lpstr>Foglio1</vt:lpstr>
      <vt:lpstr>'Fg 1 RICAVI E COSTI'!Area_stampa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2019-05-02T11:06:04Z</dcterms:created>
  <dcterms:modified xsi:type="dcterms:W3CDTF">2019-05-02T11:06:04Z</dcterms:modified>
</cp:coreProperties>
</file>